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40" windowWidth="15120" windowHeight="7005" firstSheet="1" activeTab="1"/>
  </bookViews>
  <sheets>
    <sheet name="Hoja1" sheetId="3" state="hidden" r:id="rId1"/>
    <sheet name="Simulador" sheetId="8" r:id="rId2"/>
    <sheet name="Catalogos" sheetId="9" state="hidden" r:id="rId3"/>
    <sheet name="Ingresos" sheetId="10" r:id="rId4"/>
    <sheet name="Compras" sheetId="11" r:id="rId5"/>
  </sheets>
  <definedNames>
    <definedName name="_xlnm._FilterDatabase" localSheetId="4" hidden="1">Compras!$I$2:$N$55</definedName>
    <definedName name="_xlnm._FilterDatabase" localSheetId="3" hidden="1">Ingresos!$K$2:$U$53</definedName>
    <definedName name="año">Simulador!$L$4:$L$6</definedName>
    <definedName name="bimestre">Catalogos!$A$2:$A$8</definedName>
    <definedName name="cienmil">Simulador!$M$16:$M$18</definedName>
    <definedName name="estimuloisr">Simulador!$L$5:$O$6</definedName>
    <definedName name="estimuloivaieps">Simulador!$L$11:$O$12</definedName>
    <definedName name="sector">Catalogos!$E$2:$E$7</definedName>
  </definedNames>
  <calcPr calcId="125725"/>
</workbook>
</file>

<file path=xl/calcChain.xml><?xml version="1.0" encoding="utf-8"?>
<calcChain xmlns="http://schemas.openxmlformats.org/spreadsheetml/2006/main">
  <c r="D122" i="8"/>
  <c r="D97"/>
  <c r="D89"/>
  <c r="D19" i="10"/>
  <c r="C19"/>
  <c r="C27" i="8"/>
  <c r="N8" i="11"/>
  <c r="D77" i="8"/>
  <c r="T8" i="10"/>
  <c r="D64" i="8"/>
  <c r="G8" i="10"/>
  <c r="D85" i="8"/>
  <c r="C25"/>
  <c r="C13" i="11"/>
  <c r="C26" i="8"/>
  <c r="D117" s="1"/>
  <c r="N12" i="11"/>
  <c r="N11"/>
  <c r="N10"/>
  <c r="N9"/>
  <c r="N7"/>
  <c r="N6"/>
  <c r="D90" i="8"/>
  <c r="N5" i="11"/>
  <c r="N4"/>
  <c r="E19" i="10"/>
  <c r="C20" i="8"/>
  <c r="R12" i="10"/>
  <c r="R11"/>
  <c r="R10"/>
  <c r="R9"/>
  <c r="R7"/>
  <c r="R6"/>
  <c r="R5"/>
  <c r="R4"/>
  <c r="Q12"/>
  <c r="Q11"/>
  <c r="Q10"/>
  <c r="Q9"/>
  <c r="Q7"/>
  <c r="Q6"/>
  <c r="Q5"/>
  <c r="Q4"/>
  <c r="T12"/>
  <c r="S12"/>
  <c r="T11"/>
  <c r="S11"/>
  <c r="T10"/>
  <c r="S10"/>
  <c r="T9"/>
  <c r="S9"/>
  <c r="T7"/>
  <c r="S7"/>
  <c r="T6"/>
  <c r="S6"/>
  <c r="D81" i="8"/>
  <c r="T5" i="10"/>
  <c r="S5"/>
  <c r="T4"/>
  <c r="S4"/>
  <c r="S13"/>
  <c r="D112" i="8"/>
  <c r="P12" i="10"/>
  <c r="P11"/>
  <c r="P10"/>
  <c r="P9"/>
  <c r="P7"/>
  <c r="P6"/>
  <c r="P5"/>
  <c r="P4"/>
  <c r="O12"/>
  <c r="O11"/>
  <c r="O10"/>
  <c r="O9"/>
  <c r="O7"/>
  <c r="O6"/>
  <c r="O5"/>
  <c r="O4"/>
  <c r="D13"/>
  <c r="F19"/>
  <c r="C13"/>
  <c r="D110" i="8"/>
  <c r="F16" i="3"/>
  <c r="E16"/>
  <c r="F15"/>
  <c r="E15"/>
  <c r="F14"/>
  <c r="E14"/>
  <c r="F11"/>
  <c r="E11"/>
  <c r="D11"/>
  <c r="C18" i="8"/>
  <c r="D79"/>
  <c r="D78"/>
  <c r="D91"/>
  <c r="N13" i="11"/>
  <c r="D118" i="8"/>
  <c r="D111"/>
  <c r="R13" i="10"/>
  <c r="P13"/>
  <c r="T13"/>
  <c r="D113" i="8"/>
  <c r="D124"/>
  <c r="Q13" i="10"/>
  <c r="O13"/>
  <c r="D80" i="8"/>
  <c r="D83"/>
  <c r="D99" s="1"/>
  <c r="D56"/>
  <c r="C22"/>
  <c r="C21"/>
  <c r="G19" i="10"/>
  <c r="C19" i="8"/>
  <c r="F13" i="11"/>
  <c r="D109" i="8"/>
  <c r="D115"/>
  <c r="C28"/>
  <c r="D58"/>
  <c r="D60" s="1"/>
  <c r="O17" i="10" s="1"/>
  <c r="D120" i="8" l="1"/>
  <c r="D82"/>
  <c r="Q18" i="10"/>
  <c r="Q19" s="1"/>
  <c r="Q21"/>
  <c r="Q20"/>
  <c r="D127" i="8"/>
  <c r="C40"/>
  <c r="D76"/>
  <c r="D87" s="1"/>
  <c r="D94" s="1"/>
  <c r="Q22" i="10" l="1"/>
  <c r="D62" i="8" s="1"/>
  <c r="D66"/>
  <c r="D68" s="1"/>
  <c r="C35" s="1"/>
  <c r="C34"/>
  <c r="D102"/>
  <c r="C37"/>
  <c r="D129"/>
  <c r="C41"/>
  <c r="D104" l="1"/>
  <c r="C38"/>
  <c r="C44" s="1"/>
</calcChain>
</file>

<file path=xl/comments1.xml><?xml version="1.0" encoding="utf-8"?>
<comments xmlns="http://schemas.openxmlformats.org/spreadsheetml/2006/main">
  <authors>
    <author>CUAM799Q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El RFC debe contener 13 posiciones distribuidos de la siguiente forma: 
- 4 letras
- 6 números (año, mes y día de nacimiento).
- 3 caracteres alfanuméricos (homoclave)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Si se encontraba anteriormente en el Régimen de Pequeños Contribuyentes, para efectos del Régimen de Incorporación Fiscal usted inicia a partir de 2014.
</t>
        </r>
      </text>
    </comment>
    <comment ref="C12" authorId="0">
      <text>
        <r>
          <rPr>
            <sz val="9"/>
            <color indexed="81"/>
            <rFont val="Tahoma"/>
            <family val="2"/>
          </rPr>
          <t xml:space="preserve">
Indique el periodo a declarar.</t>
        </r>
      </text>
    </comment>
    <comment ref="C14" authorId="0">
      <text>
        <r>
          <rPr>
            <sz val="9"/>
            <color indexed="81"/>
            <rFont val="Tahoma"/>
            <family val="2"/>
          </rPr>
          <t xml:space="preserve">
De la lista identifique el sector económico al que corresponde su actividad.
</t>
        </r>
      </text>
    </comment>
    <comment ref="C16" authorId="0">
      <text>
        <r>
          <rPr>
            <sz val="9"/>
            <color indexed="81"/>
            <rFont val="Tahoma"/>
            <family val="2"/>
          </rPr>
          <t xml:space="preserve">
Mencione si los ingresos del ejercicio inmediato anterior fueron menores a $100,000.00.
En caso que en el presente ejercicio fiscal (año calendario) se encuentre iniciando operaciones, indique si se estima que los ingresos serán inferiores a $100,000.00.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Tahoma"/>
            <family val="2"/>
          </rPr>
          <t>Hacer click en la liga de "Ingresos facturados" para capturar toda su información de ingresos. El sistema realizará los calculos pertinentes por usted.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Tahoma"/>
            <family val="2"/>
          </rPr>
          <t>Hacer click en la liga de "Compras facturadas" para capturar su información. El sistema realizará los calculos pertinentes por usted.</t>
        </r>
      </text>
    </comment>
  </commentList>
</comments>
</file>

<file path=xl/sharedStrings.xml><?xml version="1.0" encoding="utf-8"?>
<sst xmlns="http://schemas.openxmlformats.org/spreadsheetml/2006/main" count="234" uniqueCount="156">
  <si>
    <t>Ingresos totales</t>
  </si>
  <si>
    <r>
      <t xml:space="preserve">Alimentos no básicos de alta densidad calórica cuando el contribuyente es </t>
    </r>
    <r>
      <rPr>
        <b/>
        <sz val="11"/>
        <color indexed="8"/>
        <rFont val="Calibri"/>
        <family val="2"/>
      </rPr>
      <t>comercializador</t>
    </r>
  </si>
  <si>
    <r>
      <t xml:space="preserve">Alimentos no básicos de alta densidad calórica cuando el contribuyente es </t>
    </r>
    <r>
      <rPr>
        <b/>
        <sz val="11"/>
        <color indexed="8"/>
        <rFont val="Calibri"/>
        <family val="2"/>
      </rPr>
      <t>fabricante</t>
    </r>
  </si>
  <si>
    <r>
      <t xml:space="preserve">Bebidas alcohólicas (no incluye cerveza) cuando el contribuyente es </t>
    </r>
    <r>
      <rPr>
        <b/>
        <sz val="11"/>
        <color indexed="8"/>
        <rFont val="Calibri"/>
        <family val="2"/>
      </rPr>
      <t>comercializador</t>
    </r>
  </si>
  <si>
    <r>
      <t xml:space="preserve">Bebidas alcohólicas (no incluye cerveza) cuando el contribuyente es </t>
    </r>
    <r>
      <rPr>
        <b/>
        <sz val="11"/>
        <color indexed="8"/>
        <rFont val="Calibri"/>
        <family val="2"/>
      </rPr>
      <t>fabricante</t>
    </r>
  </si>
  <si>
    <r>
      <t xml:space="preserve">Bebidas saborizadas cuando el contribuyente es </t>
    </r>
    <r>
      <rPr>
        <b/>
        <sz val="11"/>
        <color indexed="8"/>
        <rFont val="Calibri"/>
        <family val="2"/>
      </rPr>
      <t>fabricante</t>
    </r>
  </si>
  <si>
    <r>
      <t xml:space="preserve">Cerveza cuando el contribuyente es </t>
    </r>
    <r>
      <rPr>
        <b/>
        <sz val="11"/>
        <color indexed="8"/>
        <rFont val="Calibri"/>
        <family val="2"/>
      </rPr>
      <t>fabricante</t>
    </r>
  </si>
  <si>
    <r>
      <t xml:space="preserve">Plaguicidas cuando el contribuyente es </t>
    </r>
    <r>
      <rPr>
        <b/>
        <sz val="11"/>
        <color indexed="8"/>
        <rFont val="Calibri"/>
        <family val="2"/>
      </rPr>
      <t>fabricante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indexed="8"/>
        <rFont val="Calibri"/>
        <family val="2"/>
      </rPr>
      <t>comercializador</t>
    </r>
  </si>
  <si>
    <r>
      <t xml:space="preserve">Puros y otros tabacos cuando el contribuyente es </t>
    </r>
    <r>
      <rPr>
        <b/>
        <sz val="11"/>
        <color indexed="8"/>
        <rFont val="Calibri"/>
        <family val="2"/>
      </rPr>
      <t>fabricante</t>
    </r>
  </si>
  <si>
    <r>
      <t xml:space="preserve">Tabacos cuando el contribuyente es </t>
    </r>
    <r>
      <rPr>
        <b/>
        <sz val="11"/>
        <color indexed="8"/>
        <rFont val="Calibri"/>
        <family val="2"/>
      </rPr>
      <t>fabricante</t>
    </r>
  </si>
  <si>
    <t>Ventas por:</t>
  </si>
  <si>
    <t>Total IEPS</t>
  </si>
  <si>
    <t>Ventas totales sujetas a IEPS</t>
  </si>
  <si>
    <t>IEPS cobrado:</t>
  </si>
  <si>
    <t>IEPS a pagar</t>
  </si>
  <si>
    <t>IVA a pagar (antes de estímulo)</t>
  </si>
  <si>
    <t>Proporción de ingresos facturados</t>
  </si>
  <si>
    <t>IEPS a pagar (antes de estímulo)</t>
  </si>
  <si>
    <t>Monto del estímulo</t>
  </si>
  <si>
    <t>Negocios dedicados únicamente a la manufactura y/o comercio de alimentos y/o medicinas</t>
  </si>
  <si>
    <t>Sector económico</t>
  </si>
  <si>
    <t>Tasa de IVA</t>
  </si>
  <si>
    <t>Periodo (Bimestre)</t>
  </si>
  <si>
    <t>RFC (a 13 posiciones)</t>
  </si>
  <si>
    <t>Ingresos facturados</t>
  </si>
  <si>
    <t>Ingresos por venta al público en general</t>
  </si>
  <si>
    <t>Compras facturadas a tasa 16% de IVA</t>
  </si>
  <si>
    <t>IVA acreditable</t>
  </si>
  <si>
    <t>Porcentaje de estímulo</t>
  </si>
  <si>
    <t>2015 con Decreto</t>
  </si>
  <si>
    <t>IVA a pagar (con estímulo)</t>
  </si>
  <si>
    <t>Porcentaje de IVA de Decreto</t>
  </si>
  <si>
    <t>Periodo</t>
  </si>
  <si>
    <t>Ejericio fiscal</t>
  </si>
  <si>
    <t>Sector</t>
  </si>
  <si>
    <t>Factor (Decreto 2015)</t>
  </si>
  <si>
    <t>Ejercicio</t>
  </si>
  <si>
    <t>% estímulo</t>
  </si>
  <si>
    <t>enero - febrero</t>
  </si>
  <si>
    <t>marzo - abril</t>
  </si>
  <si>
    <t>mayo - junio</t>
  </si>
  <si>
    <t>julio - agosto</t>
  </si>
  <si>
    <t>septiembre - octubre</t>
  </si>
  <si>
    <t>noviembre - diciembre</t>
  </si>
  <si>
    <t xml:space="preserve">IVA a pagar </t>
  </si>
  <si>
    <t>Decreto 2015</t>
  </si>
  <si>
    <t>Impuesto al Valor Agregado</t>
  </si>
  <si>
    <t>Impuesto Especial sobre Producción y Servicios</t>
  </si>
  <si>
    <t>Productos IEPS</t>
  </si>
  <si>
    <t>Bebidas alcohólicas</t>
  </si>
  <si>
    <t>Tasa Ley IEPS</t>
  </si>
  <si>
    <t>Porcentaje IEPS Decreto</t>
  </si>
  <si>
    <t>Venta al público en general</t>
  </si>
  <si>
    <t>Concepto</t>
  </si>
  <si>
    <t>Compras facturadas con IEPS desglosado</t>
  </si>
  <si>
    <t>TOTAL</t>
  </si>
  <si>
    <t>IEPS Acreditable</t>
  </si>
  <si>
    <t>Compras facturadas</t>
  </si>
  <si>
    <t>Ventas</t>
  </si>
  <si>
    <t>Compras</t>
  </si>
  <si>
    <t>IEPS a pagar (después de estímulo)</t>
  </si>
  <si>
    <t>IEPS a pagar (con estímulo)</t>
  </si>
  <si>
    <t>TOTAL DE IMPUESTOS A PAGAR</t>
  </si>
  <si>
    <t>IVA cobrado venta al público en general</t>
  </si>
  <si>
    <t>IVA cobrado facturado</t>
  </si>
  <si>
    <t>IVA total a pagar (después de estímulo)</t>
  </si>
  <si>
    <t>IEPS cobrado facturado</t>
  </si>
  <si>
    <t>IEPS cobrado venta al público en general</t>
  </si>
  <si>
    <t>2014 fact</t>
  </si>
  <si>
    <t>2014 VPG</t>
  </si>
  <si>
    <t>Decreto 2015 fact</t>
  </si>
  <si>
    <t>Decreto 2015 VPG</t>
  </si>
  <si>
    <t>2015 fact</t>
  </si>
  <si>
    <t>2015 VPG</t>
  </si>
  <si>
    <t></t>
  </si>
  <si>
    <t></t>
  </si>
  <si>
    <t></t>
  </si>
  <si>
    <t></t>
  </si>
  <si>
    <t>Minería</t>
  </si>
  <si>
    <t>Manufacturas y construcción</t>
  </si>
  <si>
    <t>Comercio (incluye arrendamiento de bienes muebles)</t>
  </si>
  <si>
    <t></t>
  </si>
  <si>
    <t>DATOS DEL CONTRIBUYENTE</t>
  </si>
  <si>
    <t>CÁLCULO DE LOS IMPUESTOS A PAGAR</t>
  </si>
  <si>
    <t>Regresar a hoja principal</t>
  </si>
  <si>
    <t>Ingresos facturados al 16%</t>
  </si>
  <si>
    <t>Ingresos facturados al 0%</t>
  </si>
  <si>
    <t>Ingresos exentos facturados</t>
  </si>
  <si>
    <t>Operaciones afectas a IVA distintos a los productos sujetos a IEPS</t>
  </si>
  <si>
    <t>Compras facturadas al 16%</t>
  </si>
  <si>
    <t>Compras facturadas totales</t>
  </si>
  <si>
    <t></t>
  </si>
  <si>
    <t>Información para productos sujetos a IEPS</t>
  </si>
  <si>
    <t>Límite Inferior</t>
  </si>
  <si>
    <t>Límite Superior</t>
  </si>
  <si>
    <t>Cuota Fija</t>
  </si>
  <si>
    <t>% sobre excente de límite inferior</t>
  </si>
  <si>
    <t>Impuesto Sobre la Renta</t>
  </si>
  <si>
    <t>EGRESOS TOTALES</t>
  </si>
  <si>
    <t>Utilidad</t>
  </si>
  <si>
    <t>ISR Determinado</t>
  </si>
  <si>
    <t>ISR a pagar</t>
  </si>
  <si>
    <t>Calculo de ISR</t>
  </si>
  <si>
    <t>-</t>
  </si>
  <si>
    <t>Limite Inferior :</t>
  </si>
  <si>
    <t>=</t>
  </si>
  <si>
    <t>Excedente del limite inferior :</t>
  </si>
  <si>
    <t>x</t>
  </si>
  <si>
    <t>Tasa :</t>
  </si>
  <si>
    <t>+</t>
  </si>
  <si>
    <t>Cuota Fija :</t>
  </si>
  <si>
    <t>ISR a cargo:</t>
  </si>
  <si>
    <t>Reducción anual:</t>
  </si>
  <si>
    <t>ISR a Pagar:</t>
  </si>
  <si>
    <t>ISR a pagar (con estímulo)</t>
  </si>
  <si>
    <t>F</t>
  </si>
  <si>
    <t>Ventas facturadas
(pesos)</t>
  </si>
  <si>
    <t>Ventas al público en general
(pesos)</t>
  </si>
  <si>
    <t>Ventas
(pesos)</t>
  </si>
  <si>
    <t>INGRESOS TOTALES
(pesos)</t>
  </si>
  <si>
    <t>GRAN TOTAL</t>
  </si>
  <si>
    <r>
      <t xml:space="preserve">Información de Ingresos
</t>
    </r>
    <r>
      <rPr>
        <b/>
        <sz val="11"/>
        <color indexed="55"/>
        <rFont val="Calibri"/>
        <family val="2"/>
      </rPr>
      <t xml:space="preserve">Captura la información de tus ventas. La tabla verde es para los productos sujetos a IEPS; la tabla en gris para el resto de tus operaciones; la tabla en rojo es el resultado de tu información. </t>
    </r>
  </si>
  <si>
    <t>Subtotal - ventas de productos sujetos a IEPS</t>
  </si>
  <si>
    <t>Subtotal - ventas de otros productos</t>
  </si>
  <si>
    <r>
      <t xml:space="preserve">Información de Compras
</t>
    </r>
    <r>
      <rPr>
        <b/>
        <sz val="12"/>
        <color indexed="55"/>
        <rFont val="Calibri"/>
        <family val="2"/>
      </rPr>
      <t xml:space="preserve">Captura la información de tus compras. La tabla verde es para los productos sujetos a IEPS; la tabla en gris para el resto de tus operaciones; la tabla en rojo es el resultado de tu información. </t>
    </r>
  </si>
  <si>
    <t>Compras
(pesos)</t>
  </si>
  <si>
    <t>Año de inicio de operaciones en el Régimen de Incorporación Fiscal</t>
  </si>
  <si>
    <t>Año 1</t>
  </si>
  <si>
    <t>Año 2</t>
  </si>
  <si>
    <t>n.d.</t>
  </si>
  <si>
    <t>Año 2 Dec</t>
  </si>
  <si>
    <t>Estimulo IVA/IEPS</t>
  </si>
  <si>
    <t>Estimulo ISR</t>
  </si>
  <si>
    <t></t>
  </si>
  <si>
    <t>Prestación de servicios (incluye restaurantes, fondas, bares y demás negocios similares en que se proporcionen servicios de alimentos y bebidas)</t>
  </si>
  <si>
    <t>Saldo a favor de IVA</t>
  </si>
  <si>
    <t>Alimentos no básicos de alta densidad calórica (Ejemplo: dulces, chocolates, botanas, galletas, pastelillos, pan dulce, paletas, helados) (cuando el contribuyente sea comercializador)</t>
  </si>
  <si>
    <t>Alimentos no básicos de alta densidad calórica (Ejemplo: dulces, chocolates, botanas, galletas, pastelillos, pan dulce, paletas, helados) (cuando el contribuyente sea fabricante)</t>
  </si>
  <si>
    <t>Bebidas alcohólicas (no incluye cerveza) (cuando el contribuyente sea comercializador)</t>
  </si>
  <si>
    <t>Bebidas alcohólicas (no incluye cerveza) (cuando el contribuyente sea fabricante)</t>
  </si>
  <si>
    <t>Cerveza (cuando el contribuyente sea fabricante)</t>
  </si>
  <si>
    <t>Plaguicidas (cuando el contribuyente sea fabricante o comercializador)</t>
  </si>
  <si>
    <t xml:space="preserve">Puros y otros tabacos hechos enteramente a mano (cuando el contribuyente sea fabricante) </t>
  </si>
  <si>
    <t>Tabacos en general (cuando el contribuyente sea fabricante)</t>
  </si>
  <si>
    <t>Total de compras de productos sujetos a IEPS</t>
  </si>
  <si>
    <t>IEPS cobrado</t>
  </si>
  <si>
    <t>Saldo a favor de IEPS</t>
  </si>
  <si>
    <t>Bebidas saborizadas (cuando el contribuyente sea fabricante)</t>
  </si>
  <si>
    <t>Compras facturadas a tasa 0% o exentas</t>
  </si>
  <si>
    <t>Compras facturadas al 0% y exentas</t>
  </si>
  <si>
    <t></t>
  </si>
  <si>
    <t>¿Sus ingresos del año anterior fueron menores a 100 mil pesos?</t>
  </si>
  <si>
    <t>Ingresos menores a 100 mil</t>
  </si>
  <si>
    <t>Sí</t>
  </si>
  <si>
    <t>No</t>
  </si>
  <si>
    <t>IEPS pagado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</si>
</sst>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2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55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indexed="55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6" tint="-0.499984740745262"/>
      <name val="Wingdings"/>
      <charset val="2"/>
    </font>
    <font>
      <u/>
      <sz val="14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sz val="20"/>
      <color theme="6" tint="-0.499984740745262"/>
      <name val="Wingdings"/>
      <charset val="2"/>
    </font>
    <font>
      <b/>
      <sz val="16"/>
      <color theme="1"/>
      <name val="Calibri"/>
      <family val="2"/>
      <scheme val="minor"/>
    </font>
    <font>
      <u/>
      <sz val="8"/>
      <color theme="1" tint="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0">
    <xf numFmtId="0" fontId="0" fillId="0" borderId="0" xfId="0"/>
    <xf numFmtId="9" fontId="0" fillId="0" borderId="0" xfId="0" applyNumberFormat="1"/>
    <xf numFmtId="0" fontId="0" fillId="0" borderId="0" xfId="0" applyAlignment="1">
      <alignment horizontal="left" indent="1"/>
    </xf>
    <xf numFmtId="0" fontId="0" fillId="0" borderId="9" xfId="0" applyBorder="1"/>
    <xf numFmtId="0" fontId="0" fillId="0" borderId="9" xfId="0" applyBorder="1" applyAlignment="1">
      <alignment horizontal="left" indent="1"/>
    </xf>
    <xf numFmtId="0" fontId="0" fillId="0" borderId="9" xfId="0" applyBorder="1" applyAlignment="1">
      <alignment horizontal="left"/>
    </xf>
    <xf numFmtId="4" fontId="0" fillId="0" borderId="0" xfId="0" applyNumberFormat="1"/>
    <xf numFmtId="4" fontId="0" fillId="2" borderId="1" xfId="0" applyNumberFormat="1" applyFill="1" applyBorder="1"/>
    <xf numFmtId="4" fontId="0" fillId="0" borderId="0" xfId="0" applyNumberFormat="1" applyBorder="1"/>
    <xf numFmtId="4" fontId="0" fillId="0" borderId="0" xfId="0" quotePrefix="1" applyNumberFormat="1"/>
    <xf numFmtId="4" fontId="0" fillId="2" borderId="2" xfId="0" applyNumberFormat="1" applyFill="1" applyBorder="1"/>
    <xf numFmtId="4" fontId="13" fillId="0" borderId="0" xfId="0" applyNumberFormat="1" applyFont="1" applyAlignment="1">
      <alignment horizontal="center" wrapText="1"/>
    </xf>
    <xf numFmtId="4" fontId="0" fillId="0" borderId="0" xfId="0" applyNumberFormat="1" applyFill="1" applyBorder="1"/>
    <xf numFmtId="4" fontId="0" fillId="0" borderId="0" xfId="0" applyNumberFormat="1" applyFill="1"/>
    <xf numFmtId="4" fontId="9" fillId="0" borderId="0" xfId="0" applyNumberFormat="1" applyFont="1"/>
    <xf numFmtId="9" fontId="8" fillId="2" borderId="1" xfId="3" applyFont="1" applyFill="1" applyBorder="1"/>
    <xf numFmtId="0" fontId="0" fillId="0" borderId="0" xfId="0" applyAlignment="1">
      <alignment wrapText="1"/>
    </xf>
    <xf numFmtId="10" fontId="0" fillId="0" borderId="0" xfId="0" applyNumberFormat="1"/>
    <xf numFmtId="4" fontId="11" fillId="0" borderId="0" xfId="1" applyNumberFormat="1"/>
    <xf numFmtId="4" fontId="14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0" fontId="0" fillId="3" borderId="0" xfId="0" applyFill="1"/>
    <xf numFmtId="0" fontId="12" fillId="0" borderId="0" xfId="0" applyFont="1" applyAlignment="1">
      <alignment wrapText="1"/>
    </xf>
    <xf numFmtId="0" fontId="12" fillId="2" borderId="0" xfId="0" applyFont="1" applyFill="1" applyAlignment="1">
      <alignment vertical="center"/>
    </xf>
    <xf numFmtId="0" fontId="12" fillId="0" borderId="0" xfId="0" applyFont="1"/>
    <xf numFmtId="4" fontId="12" fillId="0" borderId="0" xfId="0" applyNumberFormat="1" applyFont="1"/>
    <xf numFmtId="4" fontId="0" fillId="0" borderId="0" xfId="0" applyNumberForma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3" fillId="0" borderId="0" xfId="0" applyNumberFormat="1" applyFont="1"/>
    <xf numFmtId="0" fontId="16" fillId="0" borderId="0" xfId="1" applyFont="1"/>
    <xf numFmtId="4" fontId="0" fillId="0" borderId="1" xfId="0" applyNumberFormat="1" applyBorder="1" applyProtection="1">
      <protection locked="0"/>
    </xf>
    <xf numFmtId="4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12" fillId="0" borderId="0" xfId="0" applyNumberFormat="1" applyFont="1" applyFill="1" applyBorder="1" applyAlignment="1">
      <alignment horizontal="center" vertical="center"/>
    </xf>
    <xf numFmtId="4" fontId="18" fillId="0" borderId="0" xfId="0" applyNumberFormat="1" applyFont="1"/>
    <xf numFmtId="4" fontId="19" fillId="0" borderId="0" xfId="0" applyNumberFormat="1" applyFont="1" applyAlignment="1">
      <alignment horizontal="center" vertical="center"/>
    </xf>
    <xf numFmtId="4" fontId="0" fillId="2" borderId="10" xfId="0" applyNumberFormat="1" applyFill="1" applyBorder="1"/>
    <xf numFmtId="4" fontId="12" fillId="2" borderId="10" xfId="0" applyNumberFormat="1" applyFont="1" applyFill="1" applyBorder="1"/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0" fontId="6" fillId="0" borderId="0" xfId="0" applyNumberFormat="1" applyFont="1" applyAlignment="1">
      <alignment vertical="center" wrapText="1"/>
    </xf>
    <xf numFmtId="4" fontId="6" fillId="0" borderId="0" xfId="2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9" fontId="8" fillId="0" borderId="0" xfId="3" applyFont="1"/>
    <xf numFmtId="4" fontId="0" fillId="0" borderId="0" xfId="0" applyNumberFormat="1" applyProtection="1">
      <protection locked="0"/>
    </xf>
    <xf numFmtId="4" fontId="21" fillId="0" borderId="0" xfId="0" applyNumberFormat="1" applyFont="1"/>
    <xf numFmtId="4" fontId="22" fillId="0" borderId="0" xfId="0" quotePrefix="1" applyNumberFormat="1" applyFont="1"/>
    <xf numFmtId="4" fontId="19" fillId="0" borderId="0" xfId="0" applyNumberFormat="1" applyFont="1" applyAlignment="1">
      <alignment horizontal="right" vertical="center" indent="3"/>
    </xf>
    <xf numFmtId="0" fontId="13" fillId="0" borderId="0" xfId="0" applyFont="1"/>
    <xf numFmtId="0" fontId="10" fillId="4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 indent="1"/>
    </xf>
    <xf numFmtId="4" fontId="0" fillId="0" borderId="11" xfId="0" applyNumberFormat="1" applyBorder="1" applyAlignment="1" applyProtection="1">
      <alignment vertical="center"/>
      <protection locked="0"/>
    </xf>
    <xf numFmtId="0" fontId="12" fillId="5" borderId="11" xfId="0" applyFont="1" applyFill="1" applyBorder="1" applyAlignment="1">
      <alignment horizontal="center" vertical="center" wrapText="1"/>
    </xf>
    <xf numFmtId="4" fontId="12" fillId="5" borderId="11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indent="2"/>
    </xf>
    <xf numFmtId="0" fontId="0" fillId="0" borderId="11" xfId="0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/>
    </xf>
    <xf numFmtId="4" fontId="11" fillId="0" borderId="0" xfId="1" applyNumberFormat="1" applyProtection="1">
      <protection locked="0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4" fontId="0" fillId="0" borderId="0" xfId="0" applyNumberFormat="1" applyAlignment="1">
      <alignment vertical="center" wrapText="1"/>
    </xf>
    <xf numFmtId="0" fontId="0" fillId="8" borderId="0" xfId="0" applyFill="1" applyAlignment="1">
      <alignment vertical="center"/>
    </xf>
    <xf numFmtId="9" fontId="0" fillId="8" borderId="0" xfId="0" applyNumberFormat="1" applyFill="1" applyAlignment="1">
      <alignment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9" fontId="8" fillId="2" borderId="1" xfId="3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4" fontId="0" fillId="2" borderId="10" xfId="0" applyNumberFormat="1" applyFill="1" applyBorder="1" applyAlignment="1">
      <alignment horizontal="right"/>
    </xf>
    <xf numFmtId="4" fontId="12" fillId="2" borderId="10" xfId="0" applyNumberFormat="1" applyFont="1" applyFill="1" applyBorder="1" applyAlignment="1">
      <alignment horizontal="right"/>
    </xf>
    <xf numFmtId="0" fontId="0" fillId="0" borderId="0" xfId="0" applyProtection="1"/>
    <xf numFmtId="4" fontId="0" fillId="0" borderId="0" xfId="0" applyNumberFormat="1" applyFill="1" applyBorder="1" applyAlignment="1" applyProtection="1">
      <alignment vertical="center"/>
    </xf>
    <xf numFmtId="4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">
    <cellStyle name="Hipervínculo" xfId="1" builtinId="8"/>
    <cellStyle name="Moneda" xfId="2" builtinId="4"/>
    <cellStyle name="Normal" xfId="0" builtinId="0"/>
    <cellStyle name="Porcentual" xfId="3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4</xdr:col>
      <xdr:colOff>981075</xdr:colOff>
      <xdr:row>50</xdr:row>
      <xdr:rowOff>66675</xdr:rowOff>
    </xdr:to>
    <xdr:pic>
      <xdr:nvPicPr>
        <xdr:cNvPr id="1408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91700"/>
          <a:ext cx="6848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981075</xdr:colOff>
      <xdr:row>46</xdr:row>
      <xdr:rowOff>180975</xdr:rowOff>
    </xdr:from>
    <xdr:to>
      <xdr:col>6</xdr:col>
      <xdr:colOff>981075</xdr:colOff>
      <xdr:row>50</xdr:row>
      <xdr:rowOff>66675</xdr:rowOff>
    </xdr:to>
    <xdr:pic>
      <xdr:nvPicPr>
        <xdr:cNvPr id="1409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6261"/>
        <a:stretch>
          <a:fillRect/>
        </a:stretch>
      </xdr:blipFill>
      <xdr:spPr bwMode="auto">
        <a:xfrm>
          <a:off x="6848475" y="9782175"/>
          <a:ext cx="2305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952505</xdr:colOff>
      <xdr:row>7</xdr:row>
      <xdr:rowOff>11906</xdr:rowOff>
    </xdr:from>
    <xdr:to>
      <xdr:col>6</xdr:col>
      <xdr:colOff>916781</xdr:colOff>
      <xdr:row>18</xdr:row>
      <xdr:rowOff>21166</xdr:rowOff>
    </xdr:to>
    <xdr:sp macro="" textlink="">
      <xdr:nvSpPr>
        <xdr:cNvPr id="3" name="2 Rectángulo redondeado"/>
        <xdr:cNvSpPr/>
      </xdr:nvSpPr>
      <xdr:spPr>
        <a:xfrm>
          <a:off x="5672672" y="1345406"/>
          <a:ext cx="3425026" cy="2697427"/>
        </a:xfrm>
        <a:prstGeom prst="roundRect">
          <a:avLst/>
        </a:prstGeom>
        <a:solidFill>
          <a:schemeClr val="bg1">
            <a:lumMod val="65000"/>
          </a:schemeClr>
        </a:solidFill>
        <a:ln w="19050"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just"/>
          <a:r>
            <a:rPr lang="es-MX" sz="850" u="sng">
              <a:solidFill>
                <a:schemeClr val="bg1"/>
              </a:solidFill>
            </a:rPr>
            <a:t>Supuestos</a:t>
          </a:r>
          <a:r>
            <a:rPr lang="es-MX" sz="850">
              <a:solidFill>
                <a:schemeClr val="bg1"/>
              </a:solidFill>
            </a:rPr>
            <a:t>:</a:t>
          </a:r>
        </a:p>
        <a:p>
          <a:pPr algn="just"/>
          <a:r>
            <a:rPr lang="es-MX" sz="850">
              <a:solidFill>
                <a:schemeClr val="bg1"/>
              </a:solidFill>
            </a:rPr>
            <a:t>- Para el correcto desplegado del contenido de las listas de opciones, se requiere contar con la versión de Excel 2003 o superior. </a:t>
          </a:r>
        </a:p>
        <a:p>
          <a:pPr algn="just"/>
          <a:r>
            <a:rPr lang="es-MX" sz="850">
              <a:solidFill>
                <a:schemeClr val="bg1"/>
              </a:solidFill>
            </a:rPr>
            <a:t>- La determinación de la utilidad para efectos del ISR considera</a:t>
          </a:r>
          <a:r>
            <a:rPr lang="es-MX" sz="850" baseline="0">
              <a:solidFill>
                <a:schemeClr val="bg1"/>
              </a:solidFill>
            </a:rPr>
            <a:t> las compras registradas, que correspoden únicamente a compras facturadas, supuesto que sirve a su vez para efectos del IVA acreditable.</a:t>
          </a:r>
          <a:endParaRPr lang="es-MX" sz="850">
            <a:solidFill>
              <a:schemeClr val="bg1"/>
            </a:solidFill>
          </a:endParaRPr>
        </a:p>
        <a:p>
          <a:pPr algn="just"/>
          <a:r>
            <a:rPr lang="es-MX" sz="850">
              <a:solidFill>
                <a:schemeClr val="bg1"/>
              </a:solidFill>
            </a:rPr>
            <a:t>- La venta</a:t>
          </a:r>
          <a:r>
            <a:rPr lang="es-MX" sz="850" baseline="0">
              <a:solidFill>
                <a:schemeClr val="bg1"/>
              </a:solidFill>
            </a:rPr>
            <a:t> de alimentos no básicos de alta densidad calórica (comercializador y fabricante), se consideran para efectos del IVA como sujetos a tasa 0% </a:t>
          </a:r>
          <a:r>
            <a:rPr lang="es-MX" sz="850">
              <a:solidFill>
                <a:schemeClr val="bg1"/>
              </a:solidFill>
            </a:rPr>
            <a:t>(los restantes productos sujetos al IEPS son a tasa del 16%).</a:t>
          </a:r>
        </a:p>
        <a:p>
          <a:pPr algn="just"/>
          <a:r>
            <a:rPr lang="es-MX" sz="850">
              <a:solidFill>
                <a:schemeClr val="bg1"/>
              </a:solidFill>
            </a:rPr>
            <a:t>- A las compras facturadas de productos sujetos a IEPS, se le aplicó la tasa máxima de Ley.</a:t>
          </a:r>
        </a:p>
        <a:p>
          <a:pPr algn="just"/>
          <a:r>
            <a:rPr lang="es-MX" sz="850">
              <a:solidFill>
                <a:schemeClr val="bg1"/>
              </a:solidFill>
            </a:rPr>
            <a:t>- Se considera que todas las compras de productos sujetos a IEPS, son afectos a la tasa del 16% de IVA excepto los</a:t>
          </a:r>
          <a:r>
            <a:rPr lang="es-MX" sz="850" baseline="0">
              <a:solidFill>
                <a:schemeClr val="bg1"/>
              </a:solidFill>
            </a:rPr>
            <a:t> alimentos no básicos de alta densidad calórica</a:t>
          </a:r>
          <a:r>
            <a:rPr lang="es-MX" sz="850">
              <a:solidFill>
                <a:schemeClr val="bg1"/>
              </a:solidFill>
            </a:rPr>
            <a:t>.</a:t>
          </a:r>
        </a:p>
      </xdr:txBody>
    </xdr:sp>
    <xdr:clientData/>
  </xdr:twoCellAnchor>
  <xdr:twoCellAnchor editAs="oneCell">
    <xdr:from>
      <xdr:col>0</xdr:col>
      <xdr:colOff>57150</xdr:colOff>
      <xdr:row>4</xdr:row>
      <xdr:rowOff>114300</xdr:rowOff>
    </xdr:from>
    <xdr:to>
      <xdr:col>6</xdr:col>
      <xdr:colOff>1028700</xdr:colOff>
      <xdr:row>5</xdr:row>
      <xdr:rowOff>28575</xdr:rowOff>
    </xdr:to>
    <xdr:pic>
      <xdr:nvPicPr>
        <xdr:cNvPr id="1411" name="11 Imagen" descr="linea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876300"/>
          <a:ext cx="91440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46</xdr:row>
      <xdr:rowOff>95250</xdr:rowOff>
    </xdr:from>
    <xdr:to>
      <xdr:col>6</xdr:col>
      <xdr:colOff>1028700</xdr:colOff>
      <xdr:row>47</xdr:row>
      <xdr:rowOff>9525</xdr:rowOff>
    </xdr:to>
    <xdr:pic>
      <xdr:nvPicPr>
        <xdr:cNvPr id="1412" name="12 Imagen" descr="linea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9696450"/>
          <a:ext cx="91440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1114425</xdr:colOff>
      <xdr:row>0</xdr:row>
      <xdr:rowOff>95250</xdr:rowOff>
    </xdr:from>
    <xdr:to>
      <xdr:col>1</xdr:col>
      <xdr:colOff>2676525</xdr:colOff>
      <xdr:row>4</xdr:row>
      <xdr:rowOff>38100</xdr:rowOff>
    </xdr:to>
    <xdr:pic>
      <xdr:nvPicPr>
        <xdr:cNvPr id="1413" name="13 Imagen" descr="crezcamosjuntos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76425" y="95250"/>
          <a:ext cx="1562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161925</xdr:rowOff>
    </xdr:from>
    <xdr:to>
      <xdr:col>1</xdr:col>
      <xdr:colOff>1076325</xdr:colOff>
      <xdr:row>3</xdr:row>
      <xdr:rowOff>171450</xdr:rowOff>
    </xdr:to>
    <xdr:pic>
      <xdr:nvPicPr>
        <xdr:cNvPr id="1414" name="14 Imagen" descr="gobierno-republica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161925"/>
          <a:ext cx="18192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H23"/>
  <sheetViews>
    <sheetView workbookViewId="0">
      <selection activeCell="C24" sqref="C24"/>
    </sheetView>
  </sheetViews>
  <sheetFormatPr baseColWidth="10" defaultRowHeight="15"/>
  <sheetData>
    <row r="1" spans="3:8">
      <c r="C1" s="3" t="s">
        <v>10</v>
      </c>
      <c r="D1" s="3"/>
      <c r="E1" s="3"/>
      <c r="F1" s="3"/>
    </row>
    <row r="2" spans="3:8">
      <c r="C2" s="4" t="s">
        <v>1</v>
      </c>
      <c r="D2" s="3">
        <v>2000</v>
      </c>
      <c r="E2" s="3">
        <v>2000</v>
      </c>
      <c r="F2" s="3">
        <v>200</v>
      </c>
      <c r="G2" s="1">
        <v>0.01</v>
      </c>
      <c r="H2" s="1">
        <v>0.08</v>
      </c>
    </row>
    <row r="3" spans="3:8">
      <c r="C3" s="4" t="s">
        <v>2</v>
      </c>
      <c r="D3" s="3"/>
      <c r="E3" s="3"/>
      <c r="F3" s="3"/>
      <c r="G3" s="1">
        <v>0.03</v>
      </c>
      <c r="H3" s="1">
        <v>0.08</v>
      </c>
    </row>
    <row r="4" spans="3:8">
      <c r="C4" s="4" t="s">
        <v>3</v>
      </c>
      <c r="D4" s="3">
        <v>2000</v>
      </c>
      <c r="E4" s="3">
        <v>2000</v>
      </c>
      <c r="F4" s="3">
        <v>200</v>
      </c>
      <c r="G4" s="1">
        <v>0.21</v>
      </c>
      <c r="H4" s="1">
        <v>0.26</v>
      </c>
    </row>
    <row r="5" spans="3:8">
      <c r="C5" s="4" t="s">
        <v>4</v>
      </c>
      <c r="D5" s="3"/>
      <c r="E5" s="3"/>
      <c r="F5" s="3"/>
      <c r="G5" s="1">
        <v>0.04</v>
      </c>
      <c r="H5" s="1"/>
    </row>
    <row r="6" spans="3:8">
      <c r="C6" s="4" t="s">
        <v>5</v>
      </c>
      <c r="D6" s="3"/>
      <c r="E6" s="3"/>
      <c r="F6" s="3"/>
      <c r="G6" s="1">
        <v>0.21</v>
      </c>
      <c r="H6" s="1"/>
    </row>
    <row r="7" spans="3:8">
      <c r="C7" s="4" t="s">
        <v>6</v>
      </c>
      <c r="D7" s="3"/>
      <c r="E7" s="3"/>
      <c r="F7" s="3"/>
      <c r="G7" s="1">
        <v>0.1</v>
      </c>
      <c r="H7" s="1"/>
    </row>
    <row r="8" spans="3:8">
      <c r="C8" s="4" t="s">
        <v>7</v>
      </c>
      <c r="D8" s="3"/>
      <c r="E8" s="3"/>
      <c r="F8" s="3"/>
      <c r="G8" s="1">
        <v>0.01</v>
      </c>
      <c r="H8" s="1"/>
    </row>
    <row r="9" spans="3:8">
      <c r="C9" s="4" t="s">
        <v>8</v>
      </c>
      <c r="D9" s="3"/>
      <c r="E9" s="3"/>
      <c r="F9" s="3"/>
      <c r="G9" s="1">
        <v>0.23</v>
      </c>
      <c r="H9" s="1"/>
    </row>
    <row r="10" spans="3:8">
      <c r="C10" s="4" t="s">
        <v>9</v>
      </c>
      <c r="D10" s="3"/>
      <c r="E10" s="3"/>
      <c r="F10" s="3"/>
      <c r="G10" s="1">
        <v>1.2</v>
      </c>
      <c r="H10" s="1"/>
    </row>
    <row r="11" spans="3:8">
      <c r="C11" s="5" t="s">
        <v>12</v>
      </c>
      <c r="D11" s="3">
        <f>SUM(D2:D10)</f>
        <v>4000</v>
      </c>
      <c r="E11" s="3">
        <f>SUM(E2:E10)</f>
        <v>4000</v>
      </c>
      <c r="F11" s="3">
        <f>SUM(F2:F10)</f>
        <v>400</v>
      </c>
    </row>
    <row r="13" spans="3:8">
      <c r="C13" t="s">
        <v>13</v>
      </c>
    </row>
    <row r="14" spans="3:8">
      <c r="C14" s="2" t="s">
        <v>1</v>
      </c>
      <c r="D14">
        <v>0</v>
      </c>
      <c r="E14">
        <f>E2*$H2</f>
        <v>160</v>
      </c>
      <c r="F14">
        <f>F2*$G2</f>
        <v>2</v>
      </c>
    </row>
    <row r="15" spans="3:8">
      <c r="C15" s="2" t="s">
        <v>2</v>
      </c>
      <c r="D15">
        <v>0</v>
      </c>
      <c r="E15">
        <f>E3*$H3</f>
        <v>0</v>
      </c>
      <c r="F15">
        <f>F3*$G3</f>
        <v>0</v>
      </c>
    </row>
    <row r="16" spans="3:8">
      <c r="C16" s="2" t="s">
        <v>3</v>
      </c>
      <c r="D16">
        <v>0</v>
      </c>
      <c r="E16">
        <f>E4*$H4</f>
        <v>520</v>
      </c>
      <c r="F16">
        <f>F4*$G4</f>
        <v>42</v>
      </c>
    </row>
    <row r="17" spans="3:3">
      <c r="C17" s="2" t="s">
        <v>4</v>
      </c>
    </row>
    <row r="18" spans="3:3">
      <c r="C18" s="2" t="s">
        <v>5</v>
      </c>
    </row>
    <row r="19" spans="3:3">
      <c r="C19" s="2" t="s">
        <v>6</v>
      </c>
    </row>
    <row r="20" spans="3:3">
      <c r="C20" s="2" t="s">
        <v>7</v>
      </c>
    </row>
    <row r="21" spans="3:3">
      <c r="C21" s="2" t="s">
        <v>8</v>
      </c>
    </row>
    <row r="22" spans="3:3">
      <c r="C22" s="2" t="s">
        <v>9</v>
      </c>
    </row>
    <row r="23" spans="3:3">
      <c r="C23" s="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6"/>
  <sheetViews>
    <sheetView showGridLines="0" tabSelected="1" zoomScale="90" zoomScaleNormal="90" workbookViewId="0"/>
  </sheetViews>
  <sheetFormatPr baseColWidth="10" defaultColWidth="0" defaultRowHeight="15" zeroHeight="1"/>
  <cols>
    <col min="1" max="1" width="11.42578125" style="6" customWidth="1"/>
    <col min="2" max="2" width="42" style="6" customWidth="1"/>
    <col min="3" max="7" width="17.28515625" style="6" customWidth="1"/>
    <col min="8" max="8" width="15.7109375" style="6" hidden="1" customWidth="1"/>
    <col min="9" max="9" width="5.7109375" style="6" hidden="1" customWidth="1"/>
    <col min="10" max="15" width="11.42578125" style="6" hidden="1" customWidth="1"/>
    <col min="16" max="16384" width="11.42578125" style="6" hidden="1"/>
  </cols>
  <sheetData>
    <row r="1" spans="1:15"/>
    <row r="2" spans="1:15">
      <c r="L2" s="35" t="s">
        <v>132</v>
      </c>
    </row>
    <row r="3" spans="1:15"/>
    <row r="4" spans="1:15">
      <c r="L4" s="50"/>
      <c r="M4" s="50" t="s">
        <v>127</v>
      </c>
      <c r="N4" s="50" t="s">
        <v>128</v>
      </c>
      <c r="O4" s="50" t="s">
        <v>130</v>
      </c>
    </row>
    <row r="5" spans="1:15">
      <c r="L5" s="50">
        <v>2014</v>
      </c>
      <c r="M5" s="82">
        <v>1</v>
      </c>
      <c r="N5" s="82">
        <v>0.9</v>
      </c>
      <c r="O5" s="82">
        <v>0.9</v>
      </c>
    </row>
    <row r="6" spans="1:15">
      <c r="L6" s="50">
        <v>2015</v>
      </c>
      <c r="M6" s="82" t="s">
        <v>129</v>
      </c>
      <c r="N6" s="82">
        <v>1</v>
      </c>
      <c r="O6" s="82">
        <v>1</v>
      </c>
    </row>
    <row r="7" spans="1:15">
      <c r="A7" s="35" t="s">
        <v>82</v>
      </c>
    </row>
    <row r="8" spans="1:15" ht="18">
      <c r="A8" s="34" t="s">
        <v>74</v>
      </c>
      <c r="B8" s="6" t="s">
        <v>23</v>
      </c>
      <c r="C8" s="37"/>
      <c r="L8" s="35" t="s">
        <v>131</v>
      </c>
    </row>
    <row r="9" spans="1:15"/>
    <row r="10" spans="1:15" ht="30">
      <c r="A10" s="34" t="s">
        <v>75</v>
      </c>
      <c r="B10" s="76" t="s">
        <v>126</v>
      </c>
      <c r="C10" s="79"/>
      <c r="L10" s="50"/>
      <c r="M10" s="50" t="s">
        <v>127</v>
      </c>
      <c r="N10" s="50" t="s">
        <v>128</v>
      </c>
      <c r="O10" s="50" t="s">
        <v>130</v>
      </c>
    </row>
    <row r="11" spans="1:15">
      <c r="L11" s="50">
        <v>2014</v>
      </c>
      <c r="M11" s="82">
        <v>1</v>
      </c>
      <c r="N11" s="82" t="s">
        <v>129</v>
      </c>
      <c r="O11" s="82">
        <v>0.9</v>
      </c>
    </row>
    <row r="12" spans="1:15" ht="18">
      <c r="A12" s="34" t="s">
        <v>76</v>
      </c>
      <c r="B12" s="6" t="s">
        <v>22</v>
      </c>
      <c r="C12" s="37"/>
      <c r="L12" s="50">
        <v>2015</v>
      </c>
      <c r="M12" s="82" t="s">
        <v>129</v>
      </c>
      <c r="N12" s="82" t="s">
        <v>129</v>
      </c>
      <c r="O12" s="82">
        <v>1</v>
      </c>
    </row>
    <row r="13" spans="1:15">
      <c r="H13" s="59"/>
    </row>
    <row r="14" spans="1:15" ht="18">
      <c r="A14" s="34" t="s">
        <v>77</v>
      </c>
      <c r="B14" s="27" t="s">
        <v>20</v>
      </c>
      <c r="C14" s="38"/>
      <c r="H14" s="60"/>
    </row>
    <row r="15" spans="1:15" ht="18">
      <c r="A15" s="34"/>
      <c r="B15" s="27"/>
      <c r="C15" s="87"/>
      <c r="H15" s="60"/>
      <c r="L15" s="35" t="s">
        <v>152</v>
      </c>
    </row>
    <row r="16" spans="1:15" ht="30">
      <c r="A16" s="34" t="s">
        <v>81</v>
      </c>
      <c r="B16" s="76" t="s">
        <v>151</v>
      </c>
      <c r="C16" s="38"/>
      <c r="H16" s="60"/>
    </row>
    <row r="17" spans="1:13">
      <c r="H17" s="60"/>
      <c r="M17" s="6" t="s">
        <v>153</v>
      </c>
    </row>
    <row r="18" spans="1:13" ht="18">
      <c r="A18" s="34" t="s">
        <v>91</v>
      </c>
      <c r="B18" s="73" t="s">
        <v>85</v>
      </c>
      <c r="C18" s="47">
        <f>Ingresos!C19</f>
        <v>0</v>
      </c>
      <c r="D18" s="45"/>
      <c r="H18" s="60"/>
      <c r="M18" s="6" t="s">
        <v>154</v>
      </c>
    </row>
    <row r="19" spans="1:13" ht="18">
      <c r="A19" s="34"/>
      <c r="B19" t="s">
        <v>86</v>
      </c>
      <c r="C19" s="47">
        <f>Ingresos!D19</f>
        <v>0</v>
      </c>
      <c r="D19" s="45"/>
      <c r="H19" s="60"/>
    </row>
    <row r="20" spans="1:13" ht="18">
      <c r="A20" s="34"/>
      <c r="B20" t="s">
        <v>87</v>
      </c>
      <c r="C20" s="47">
        <f>Ingresos!E19</f>
        <v>0</v>
      </c>
      <c r="D20" s="45"/>
      <c r="H20" s="60"/>
    </row>
    <row r="21" spans="1:13">
      <c r="B21" t="s">
        <v>25</v>
      </c>
      <c r="C21" s="47">
        <f>Ingresos!F19</f>
        <v>0</v>
      </c>
      <c r="D21" s="45"/>
      <c r="H21" s="60"/>
    </row>
    <row r="22" spans="1:13">
      <c r="B22" s="25" t="s">
        <v>0</v>
      </c>
      <c r="C22" s="48">
        <f>SUM(Ingresos!C19:F19)</f>
        <v>0</v>
      </c>
      <c r="D22" s="45"/>
      <c r="H22" s="9"/>
    </row>
    <row r="23" spans="1:13">
      <c r="B23" s="18"/>
      <c r="C23" s="12"/>
      <c r="H23" s="9"/>
    </row>
    <row r="24" spans="1:13">
      <c r="B24" s="18"/>
      <c r="C24" s="12"/>
      <c r="H24" s="9"/>
    </row>
    <row r="25" spans="1:13" ht="18">
      <c r="A25" s="34" t="s">
        <v>133</v>
      </c>
      <c r="B25" s="73" t="s">
        <v>26</v>
      </c>
      <c r="C25" s="47">
        <f>+Compras!$F$4</f>
        <v>0</v>
      </c>
    </row>
    <row r="26" spans="1:13">
      <c r="B26" t="s">
        <v>54</v>
      </c>
      <c r="C26" s="47">
        <f>+Compras!$C$13</f>
        <v>0</v>
      </c>
    </row>
    <row r="27" spans="1:13">
      <c r="B27" t="s">
        <v>149</v>
      </c>
      <c r="C27" s="47">
        <f>+Compras!$F$5</f>
        <v>0</v>
      </c>
    </row>
    <row r="28" spans="1:13">
      <c r="B28" s="25" t="s">
        <v>90</v>
      </c>
      <c r="C28" s="48">
        <f>+Compras!$F$13</f>
        <v>0</v>
      </c>
      <c r="F28" s="9"/>
    </row>
    <row r="29" spans="1:13">
      <c r="B29" s="18"/>
      <c r="C29" s="12"/>
    </row>
    <row r="30" spans="1:13">
      <c r="C30" s="8"/>
      <c r="H30" s="58"/>
    </row>
    <row r="31" spans="1:13">
      <c r="A31" s="35" t="s">
        <v>83</v>
      </c>
      <c r="C31" s="8"/>
    </row>
    <row r="32" spans="1:13" ht="18">
      <c r="A32" s="34" t="s">
        <v>150</v>
      </c>
      <c r="B32" s="35" t="s">
        <v>53</v>
      </c>
      <c r="C32" s="11" t="s">
        <v>29</v>
      </c>
    </row>
    <row r="33" spans="1:3" ht="18">
      <c r="A33" s="34"/>
      <c r="B33" s="35"/>
      <c r="C33" s="11"/>
    </row>
    <row r="34" spans="1:3" ht="18">
      <c r="A34" s="34"/>
      <c r="B34" s="6" t="s">
        <v>101</v>
      </c>
      <c r="C34" s="83">
        <f>IF(ISERROR(D62),0,D62)</f>
        <v>0</v>
      </c>
    </row>
    <row r="35" spans="1:3" ht="18">
      <c r="A35" s="34"/>
      <c r="B35" s="6" t="s">
        <v>114</v>
      </c>
      <c r="C35" s="83">
        <f>IF(ISERROR(D68),0,D68)</f>
        <v>0</v>
      </c>
    </row>
    <row r="36" spans="1:3"/>
    <row r="37" spans="1:3">
      <c r="B37" s="6" t="s">
        <v>44</v>
      </c>
      <c r="C37" s="83">
        <f>IF(D94&lt;0,0,IF(ISERROR(D94),0,D94))</f>
        <v>0</v>
      </c>
    </row>
    <row r="38" spans="1:3">
      <c r="B38" s="6" t="s">
        <v>30</v>
      </c>
      <c r="C38" s="83">
        <f>+IF(D102&lt;0,0,IF(ISERROR(D102),0,D102))</f>
        <v>0</v>
      </c>
    </row>
    <row r="39" spans="1:3"/>
    <row r="40" spans="1:3">
      <c r="B40" s="6" t="s">
        <v>14</v>
      </c>
      <c r="C40" s="83">
        <f>IF(D120&lt;0,0,IF(ISERROR(D120),0,D120))</f>
        <v>0</v>
      </c>
    </row>
    <row r="41" spans="1:3">
      <c r="B41" s="6" t="s">
        <v>61</v>
      </c>
      <c r="C41" s="83">
        <f>+IF(123&lt;0,0,IF(ISERROR(D127),0,D127))</f>
        <v>0</v>
      </c>
    </row>
    <row r="42" spans="1:3"/>
    <row r="43" spans="1:3"/>
    <row r="44" spans="1:3">
      <c r="B44" s="26" t="s">
        <v>62</v>
      </c>
      <c r="C44" s="84">
        <f>+IF(ISERROR(C38+C41+C35),"",SUM(C41,C38,C35))</f>
        <v>0</v>
      </c>
    </row>
    <row r="45" spans="1:3"/>
    <row r="46" spans="1:3"/>
    <row r="47" spans="1:3"/>
    <row r="48" spans="1:3"/>
    <row r="49" spans="2:4"/>
    <row r="50" spans="2:4"/>
    <row r="51" spans="2:4"/>
    <row r="52" spans="2:4"/>
    <row r="53" spans="2:4" ht="18.75" hidden="1" customHeight="1">
      <c r="B53" s="20" t="s">
        <v>97</v>
      </c>
    </row>
    <row r="54" spans="2:4" ht="15" hidden="1" customHeight="1"/>
    <row r="55" spans="2:4" ht="15" hidden="1" customHeight="1">
      <c r="D55" s="11" t="s">
        <v>29</v>
      </c>
    </row>
    <row r="56" spans="2:4" ht="15" hidden="1" customHeight="1">
      <c r="B56" s="6" t="s">
        <v>0</v>
      </c>
      <c r="D56" s="7">
        <f>SUM(Ingresos!$C$19:$F$19)</f>
        <v>0</v>
      </c>
    </row>
    <row r="57" spans="2:4" ht="15" hidden="1" customHeight="1"/>
    <row r="58" spans="2:4" ht="15" hidden="1" customHeight="1">
      <c r="B58" s="6" t="s">
        <v>59</v>
      </c>
      <c r="D58" s="7">
        <f>SUM(Compras!$F$13)</f>
        <v>0</v>
      </c>
    </row>
    <row r="59" spans="2:4" ht="15" hidden="1" customHeight="1"/>
    <row r="60" spans="2:4" ht="15" hidden="1" customHeight="1">
      <c r="B60" s="6" t="s">
        <v>99</v>
      </c>
      <c r="D60" s="7">
        <f>D56-D58</f>
        <v>0</v>
      </c>
    </row>
    <row r="61" spans="2:4" ht="15" hidden="1" customHeight="1"/>
    <row r="62" spans="2:4" ht="15" hidden="1" customHeight="1">
      <c r="B62" s="6" t="s">
        <v>100</v>
      </c>
      <c r="D62" s="7">
        <f>IF(ISERROR(Ingresos!$Q$22),0,Ingresos!$Q$22)</f>
        <v>0</v>
      </c>
    </row>
    <row r="63" spans="2:4" ht="15" hidden="1" customHeight="1"/>
    <row r="64" spans="2:4" ht="15" hidden="1" customHeight="1">
      <c r="B64" s="6" t="s">
        <v>28</v>
      </c>
      <c r="D64" s="80" t="e">
        <f>VLOOKUP($C$10,estimuloisr,4,0)</f>
        <v>#N/A</v>
      </c>
    </row>
    <row r="65" spans="2:4" ht="15" hidden="1" customHeight="1"/>
    <row r="66" spans="2:4" ht="15" hidden="1" customHeight="1">
      <c r="B66" s="6" t="s">
        <v>18</v>
      </c>
      <c r="D66" s="7" t="e">
        <f>D62*D64</f>
        <v>#N/A</v>
      </c>
    </row>
    <row r="67" spans="2:4" ht="15" hidden="1" customHeight="1"/>
    <row r="68" spans="2:4" ht="15" hidden="1" customHeight="1">
      <c r="B68" s="6" t="s">
        <v>101</v>
      </c>
      <c r="D68" s="81">
        <f>IF(D62&lt;0,0,IF(ISERROR(D62-D66),0,D62-D66))</f>
        <v>0</v>
      </c>
    </row>
    <row r="69" spans="2:4" ht="15" hidden="1" customHeight="1"/>
    <row r="70" spans="2:4" ht="15" hidden="1" customHeight="1"/>
    <row r="71" spans="2:4" ht="15" hidden="1" customHeight="1"/>
    <row r="72" spans="2:4" ht="15" hidden="1" customHeight="1"/>
    <row r="73" spans="2:4" ht="18.75" hidden="1" customHeight="1">
      <c r="B73" s="20" t="s">
        <v>46</v>
      </c>
    </row>
    <row r="74" spans="2:4" ht="15" hidden="1" customHeight="1">
      <c r="D74" s="11" t="s">
        <v>29</v>
      </c>
    </row>
    <row r="75" spans="2:4" ht="15" hidden="1" customHeight="1"/>
    <row r="76" spans="2:4" ht="15" hidden="1" customHeight="1">
      <c r="B76" s="6" t="s">
        <v>0</v>
      </c>
      <c r="D76" s="7">
        <f>+SUM(D77:D80)</f>
        <v>0</v>
      </c>
    </row>
    <row r="77" spans="2:4" ht="15" hidden="1" customHeight="1">
      <c r="B77" s="6" t="s">
        <v>85</v>
      </c>
      <c r="D77" s="7">
        <f>Ingresos!$C$19</f>
        <v>0</v>
      </c>
    </row>
    <row r="78" spans="2:4" ht="15" hidden="1" customHeight="1">
      <c r="B78" s="6" t="s">
        <v>86</v>
      </c>
      <c r="D78" s="7">
        <f>Ingresos!$D$19</f>
        <v>0</v>
      </c>
    </row>
    <row r="79" spans="2:4" ht="15" hidden="1" customHeight="1">
      <c r="B79" s="6" t="s">
        <v>87</v>
      </c>
      <c r="D79" s="7">
        <f>Ingresos!$E$19</f>
        <v>0</v>
      </c>
    </row>
    <row r="80" spans="2:4" ht="15" hidden="1" customHeight="1">
      <c r="B80" s="6" t="s">
        <v>25</v>
      </c>
      <c r="D80" s="7">
        <f>Ingresos!$F$19</f>
        <v>0</v>
      </c>
    </row>
    <row r="81" spans="2:4" ht="15" hidden="1" customHeight="1">
      <c r="B81" s="6" t="s">
        <v>145</v>
      </c>
      <c r="D81" s="7">
        <f>+SUM(Ingresos!S6:S12)</f>
        <v>0</v>
      </c>
    </row>
    <row r="82" spans="2:4" ht="15" hidden="1" customHeight="1">
      <c r="B82" s="6" t="s">
        <v>64</v>
      </c>
      <c r="D82" s="7">
        <f>(D77+D81)*16%</f>
        <v>0</v>
      </c>
    </row>
    <row r="83" spans="2:4" ht="15" hidden="1" customHeight="1">
      <c r="B83" s="6" t="s">
        <v>63</v>
      </c>
      <c r="D83" s="7" t="e">
        <f>+D80*$D$85</f>
        <v>#N/A</v>
      </c>
    </row>
    <row r="84" spans="2:4" ht="15" hidden="1" customHeight="1">
      <c r="D84" s="12"/>
    </row>
    <row r="85" spans="2:4" ht="15" hidden="1" customHeight="1">
      <c r="B85" s="6" t="s">
        <v>31</v>
      </c>
      <c r="D85" s="15" t="e">
        <f>+VLOOKUP($C$14,Catalogos!$E$3:$F$7,2,0)</f>
        <v>#N/A</v>
      </c>
    </row>
    <row r="86" spans="2:4" ht="15" hidden="1" customHeight="1"/>
    <row r="87" spans="2:4" ht="15" hidden="1" customHeight="1">
      <c r="B87" s="6" t="s">
        <v>16</v>
      </c>
      <c r="D87" s="15" t="str">
        <f>IF(ISERROR(SUM(D77:D79)/D76)," ",SUM(D77:D79)/D76)</f>
        <v xml:space="preserve"> </v>
      </c>
    </row>
    <row r="88" spans="2:4" ht="15" hidden="1" customHeight="1"/>
    <row r="89" spans="2:4" ht="15" hidden="1" customHeight="1">
      <c r="B89" s="6" t="s">
        <v>26</v>
      </c>
      <c r="D89" s="10">
        <f>+Compras!$F$4+SUM(Compras!$C$6:$C$12)</f>
        <v>0</v>
      </c>
    </row>
    <row r="90" spans="2:4" ht="15" hidden="1" customHeight="1">
      <c r="B90" s="6" t="s">
        <v>155</v>
      </c>
      <c r="D90" s="10">
        <f>+SUM(Compras!N6:N12)</f>
        <v>0</v>
      </c>
    </row>
    <row r="91" spans="2:4" ht="15" hidden="1" customHeight="1">
      <c r="B91" s="6" t="s">
        <v>27</v>
      </c>
      <c r="D91" s="7">
        <f>16%*(D89+D90)</f>
        <v>0</v>
      </c>
    </row>
    <row r="92" spans="2:4" s="13" customFormat="1" ht="15" hidden="1" customHeight="1">
      <c r="D92" s="12"/>
    </row>
    <row r="93" spans="2:4" ht="15" hidden="1" customHeight="1">
      <c r="D93" s="14" t="s">
        <v>45</v>
      </c>
    </row>
    <row r="94" spans="2:4" ht="15" hidden="1" customHeight="1">
      <c r="B94" s="6" t="s">
        <v>15</v>
      </c>
      <c r="D94" s="7">
        <f>+IF(ISERROR(SUM(D82:D83)-(D91*D87)),0,SUM(D82:D83)-(D91*D87))</f>
        <v>0</v>
      </c>
    </row>
    <row r="95" spans="2:4" s="13" customFormat="1" ht="15" hidden="1" customHeight="1">
      <c r="D95" s="12"/>
    </row>
    <row r="96" spans="2:4" ht="15" hidden="1" customHeight="1"/>
    <row r="97" spans="2:4" ht="15" hidden="1" customHeight="1">
      <c r="B97" s="6" t="s">
        <v>28</v>
      </c>
      <c r="D97" s="80" t="e">
        <f>IF(C16="Sí",100%,VLOOKUP($C$10,estimuloivaieps,4,0))</f>
        <v>#N/A</v>
      </c>
    </row>
    <row r="98" spans="2:4" ht="15" hidden="1" customHeight="1"/>
    <row r="99" spans="2:4" ht="15" hidden="1" customHeight="1">
      <c r="B99" s="6" t="s">
        <v>18</v>
      </c>
      <c r="D99" s="7" t="e">
        <f>+D97*D83</f>
        <v>#N/A</v>
      </c>
    </row>
    <row r="100" spans="2:4" s="13" customFormat="1" ht="15" hidden="1" customHeight="1">
      <c r="D100" s="12"/>
    </row>
    <row r="101" spans="2:4" ht="15" hidden="1" customHeight="1">
      <c r="D101" s="14" t="s">
        <v>45</v>
      </c>
    </row>
    <row r="102" spans="2:4" ht="15" hidden="1" customHeight="1">
      <c r="B102" s="6" t="s">
        <v>65</v>
      </c>
      <c r="D102" s="7">
        <f>IF(ISERROR(D94-D99),0,D94-D99)</f>
        <v>0</v>
      </c>
    </row>
    <row r="103" spans="2:4" ht="15" hidden="1" customHeight="1"/>
    <row r="104" spans="2:4" ht="15" hidden="1" customHeight="1">
      <c r="B104" s="6" t="s">
        <v>135</v>
      </c>
      <c r="D104" s="7">
        <f>+IF(D102&lt;0,-D102,0)</f>
        <v>0</v>
      </c>
    </row>
    <row r="105" spans="2:4" ht="15" hidden="1" customHeight="1"/>
    <row r="106" spans="2:4" ht="15" hidden="1" customHeight="1"/>
    <row r="107" spans="2:4" ht="18.75" hidden="1" customHeight="1">
      <c r="B107" s="19" t="s">
        <v>47</v>
      </c>
    </row>
    <row r="108" spans="2:4" ht="15" hidden="1" customHeight="1">
      <c r="D108" s="11" t="s">
        <v>29</v>
      </c>
    </row>
    <row r="109" spans="2:4" ht="15" hidden="1" customHeight="1">
      <c r="B109" s="6" t="s">
        <v>0</v>
      </c>
      <c r="D109" s="7">
        <f>+SUM(D110:D111)</f>
        <v>0</v>
      </c>
    </row>
    <row r="110" spans="2:4" ht="15" hidden="1" customHeight="1">
      <c r="B110" s="6" t="s">
        <v>24</v>
      </c>
      <c r="D110" s="7">
        <f>+Ingresos!$C$13</f>
        <v>0</v>
      </c>
    </row>
    <row r="111" spans="2:4" ht="15" hidden="1" customHeight="1">
      <c r="B111" s="6" t="s">
        <v>25</v>
      </c>
      <c r="D111" s="7">
        <f>+Ingresos!$D$13</f>
        <v>0</v>
      </c>
    </row>
    <row r="112" spans="2:4" ht="15" hidden="1" customHeight="1">
      <c r="B112" s="6" t="s">
        <v>66</v>
      </c>
      <c r="D112" s="7">
        <f>+Ingresos!S13</f>
        <v>0</v>
      </c>
    </row>
    <row r="113" spans="2:4" ht="15" hidden="1" customHeight="1">
      <c r="B113" s="6" t="s">
        <v>67</v>
      </c>
      <c r="D113" s="7">
        <f>+Ingresos!$T$13</f>
        <v>0</v>
      </c>
    </row>
    <row r="114" spans="2:4" ht="15" hidden="1" customHeight="1"/>
    <row r="115" spans="2:4" ht="15" hidden="1" customHeight="1">
      <c r="B115" s="6" t="s">
        <v>16</v>
      </c>
      <c r="D115" s="7" t="str">
        <f>IF(ISERROR(D110/D109)," ",D110/D109)</f>
        <v xml:space="preserve"> </v>
      </c>
    </row>
    <row r="116" spans="2:4" ht="15" hidden="1" customHeight="1"/>
    <row r="117" spans="2:4" ht="15" hidden="1" customHeight="1">
      <c r="B117" s="6" t="s">
        <v>54</v>
      </c>
      <c r="D117" s="7">
        <f>+$C$26</f>
        <v>0</v>
      </c>
    </row>
    <row r="118" spans="2:4" ht="15" hidden="1" customHeight="1">
      <c r="B118" s="6" t="s">
        <v>56</v>
      </c>
      <c r="D118" s="7">
        <f>+Compras!$N$13</f>
        <v>0</v>
      </c>
    </row>
    <row r="119" spans="2:4" ht="15" hidden="1" customHeight="1">
      <c r="D119" s="14" t="s">
        <v>45</v>
      </c>
    </row>
    <row r="120" spans="2:4" ht="15" hidden="1" customHeight="1">
      <c r="B120" s="6" t="s">
        <v>17</v>
      </c>
      <c r="D120" s="7">
        <f>IF(ISERROR(SUM(D112:D113)-(D118*D115)),0,SUM(D112:D113)-(D118*D115))</f>
        <v>0</v>
      </c>
    </row>
    <row r="121" spans="2:4" ht="15" hidden="1" customHeight="1"/>
    <row r="122" spans="2:4" ht="15" hidden="1" customHeight="1">
      <c r="B122" s="6" t="s">
        <v>28</v>
      </c>
      <c r="D122" s="80" t="e">
        <f>IF(C16="Sí",100%,VLOOKUP($C$10,estimuloivaieps,4,0))</f>
        <v>#N/A</v>
      </c>
    </row>
    <row r="123" spans="2:4" ht="15" hidden="1" customHeight="1"/>
    <row r="124" spans="2:4" ht="15" hidden="1" customHeight="1">
      <c r="B124" s="6" t="s">
        <v>18</v>
      </c>
      <c r="D124" s="7" t="e">
        <f>+D122*D113</f>
        <v>#N/A</v>
      </c>
    </row>
    <row r="125" spans="2:4" ht="15" hidden="1" customHeight="1"/>
    <row r="126" spans="2:4" ht="15" hidden="1" customHeight="1">
      <c r="D126" s="14" t="s">
        <v>45</v>
      </c>
    </row>
    <row r="127" spans="2:4" ht="15" hidden="1" customHeight="1">
      <c r="B127" s="6" t="s">
        <v>60</v>
      </c>
      <c r="D127" s="7">
        <f>IF(ISERROR(D120-D124),0,+D120-D124)</f>
        <v>0</v>
      </c>
    </row>
    <row r="128" spans="2:4" ht="15" hidden="1" customHeight="1"/>
    <row r="129" spans="2:4" ht="15" hidden="1" customHeight="1">
      <c r="B129" s="6" t="s">
        <v>146</v>
      </c>
      <c r="D129" s="7">
        <f>+IF(D127&lt;0,-D127,0)</f>
        <v>0</v>
      </c>
    </row>
    <row r="130" spans="2:4" ht="15" hidden="1" customHeight="1"/>
    <row r="131" spans="2:4" ht="15" hidden="1" customHeight="1"/>
    <row r="132" spans="2:4" ht="15" hidden="1" customHeight="1"/>
    <row r="133" spans="2:4" ht="15" hidden="1" customHeight="1"/>
    <row r="134" spans="2:4" ht="15" hidden="1" customHeight="1"/>
    <row r="135" spans="2:4" ht="15" hidden="1" customHeight="1"/>
    <row r="136" spans="2:4" ht="15" hidden="1" customHeight="1"/>
  </sheetData>
  <sheetProtection formatCells="0" formatColumns="0" formatRows="0" insertColumns="0" insertRows="0" deleteColumns="0" deleteRows="0" sort="0" autoFilter="0" pivotTables="0"/>
  <dataValidations count="4">
    <dataValidation type="list" allowBlank="1" showInputMessage="1" showErrorMessage="1" sqref="C10">
      <formula1>año</formula1>
    </dataValidation>
    <dataValidation type="list" allowBlank="1" showInputMessage="1" showErrorMessage="1" sqref="C14">
      <formula1>sector</formula1>
    </dataValidation>
    <dataValidation type="list" allowBlank="1" showInputMessage="1" showErrorMessage="1" sqref="C12">
      <formula1>bimestre</formula1>
    </dataValidation>
    <dataValidation type="list" allowBlank="1" showInputMessage="1" showErrorMessage="1" sqref="C16">
      <formula1>cienmil</formula1>
    </dataValidation>
  </dataValidations>
  <hyperlinks>
    <hyperlink ref="B18" location="Ingresos!A1" display="Ingresos facturados al 16%"/>
    <hyperlink ref="B25" location="Compras!A1" display="Compras facturadas a tasa 16% de IVA"/>
  </hyperlink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"/>
  <sheetViews>
    <sheetView workbookViewId="0">
      <selection activeCell="H5" sqref="H5"/>
    </sheetView>
  </sheetViews>
  <sheetFormatPr baseColWidth="10" defaultRowHeight="15"/>
  <cols>
    <col min="1" max="16384" width="11.42578125" style="50"/>
  </cols>
  <sheetData>
    <row r="1" spans="1:16" ht="51">
      <c r="A1" s="50" t="s">
        <v>32</v>
      </c>
      <c r="C1" s="50" t="s">
        <v>33</v>
      </c>
      <c r="E1" s="50" t="s">
        <v>34</v>
      </c>
      <c r="F1" s="50" t="s">
        <v>35</v>
      </c>
      <c r="H1" s="50" t="s">
        <v>36</v>
      </c>
      <c r="I1" s="50" t="s">
        <v>37</v>
      </c>
      <c r="K1" s="50" t="s">
        <v>21</v>
      </c>
      <c r="M1" s="51" t="s">
        <v>93</v>
      </c>
      <c r="N1" s="51" t="s">
        <v>94</v>
      </c>
      <c r="O1" s="51" t="s">
        <v>95</v>
      </c>
      <c r="P1" s="51" t="s">
        <v>96</v>
      </c>
    </row>
    <row r="2" spans="1:16">
      <c r="M2" s="55">
        <v>0.01</v>
      </c>
      <c r="N2" s="55">
        <v>992.14</v>
      </c>
      <c r="O2" s="56">
        <v>0</v>
      </c>
      <c r="P2" s="54">
        <v>1.9199999999999998E-2</v>
      </c>
    </row>
    <row r="3" spans="1:16">
      <c r="A3" s="50" t="s">
        <v>38</v>
      </c>
      <c r="C3" s="52">
        <v>2014</v>
      </c>
      <c r="E3" s="50" t="s">
        <v>78</v>
      </c>
      <c r="F3" s="50">
        <v>0.08</v>
      </c>
      <c r="H3" s="77">
        <v>2014</v>
      </c>
      <c r="I3" s="78">
        <v>1</v>
      </c>
      <c r="K3" s="53">
        <v>0.16</v>
      </c>
      <c r="M3" s="55">
        <v>992.15</v>
      </c>
      <c r="N3" s="55">
        <v>8420.82</v>
      </c>
      <c r="O3" s="56">
        <v>19.04</v>
      </c>
      <c r="P3" s="54">
        <v>6.4000000000000001E-2</v>
      </c>
    </row>
    <row r="4" spans="1:16">
      <c r="A4" s="50" t="s">
        <v>39</v>
      </c>
      <c r="C4" s="52">
        <v>2015</v>
      </c>
      <c r="E4" s="50" t="s">
        <v>79</v>
      </c>
      <c r="F4" s="50">
        <v>0.06</v>
      </c>
      <c r="H4" s="77">
        <v>2015</v>
      </c>
      <c r="I4" s="78">
        <v>0</v>
      </c>
      <c r="K4" s="53">
        <v>0</v>
      </c>
      <c r="M4" s="55">
        <v>8420.83</v>
      </c>
      <c r="N4" s="55">
        <v>14798.84</v>
      </c>
      <c r="O4" s="56">
        <v>494.48</v>
      </c>
      <c r="P4" s="54">
        <v>0.10879999999999999</v>
      </c>
    </row>
    <row r="5" spans="1:16">
      <c r="A5" s="50" t="s">
        <v>40</v>
      </c>
      <c r="C5" s="52" t="s">
        <v>45</v>
      </c>
      <c r="E5" s="50" t="s">
        <v>80</v>
      </c>
      <c r="F5" s="50">
        <v>0.02</v>
      </c>
      <c r="H5" s="77" t="s">
        <v>45</v>
      </c>
      <c r="I5" s="78">
        <v>0.9</v>
      </c>
      <c r="M5" s="55">
        <v>14798.85</v>
      </c>
      <c r="N5" s="55">
        <v>17203</v>
      </c>
      <c r="O5" s="56">
        <v>1188.42</v>
      </c>
      <c r="P5" s="54">
        <v>0.16</v>
      </c>
    </row>
    <row r="6" spans="1:16">
      <c r="A6" s="50" t="s">
        <v>41</v>
      </c>
      <c r="C6" s="52">
        <v>2016</v>
      </c>
      <c r="E6" s="50" t="s">
        <v>134</v>
      </c>
      <c r="F6" s="50">
        <v>0.08</v>
      </c>
      <c r="H6" s="50">
        <v>2016</v>
      </c>
      <c r="I6" s="53">
        <v>0.8</v>
      </c>
      <c r="M6" s="55">
        <v>17203.009999999998</v>
      </c>
      <c r="N6" s="55">
        <v>20596.7</v>
      </c>
      <c r="O6" s="56">
        <v>1573.08</v>
      </c>
      <c r="P6" s="54">
        <v>0.1792</v>
      </c>
    </row>
    <row r="7" spans="1:16">
      <c r="A7" s="50" t="s">
        <v>42</v>
      </c>
      <c r="C7" s="52">
        <v>2017</v>
      </c>
      <c r="E7" s="50" t="s">
        <v>19</v>
      </c>
      <c r="F7" s="50">
        <v>0</v>
      </c>
      <c r="H7" s="50">
        <v>2017</v>
      </c>
      <c r="I7" s="53">
        <v>0.7</v>
      </c>
      <c r="M7" s="55">
        <v>20596.71</v>
      </c>
      <c r="N7" s="55">
        <v>41540.58</v>
      </c>
      <c r="O7" s="56">
        <v>2181.2199999999998</v>
      </c>
      <c r="P7" s="54">
        <v>0.21360000000000001</v>
      </c>
    </row>
    <row r="8" spans="1:16">
      <c r="A8" s="50" t="s">
        <v>43</v>
      </c>
      <c r="C8" s="52">
        <v>2018</v>
      </c>
      <c r="H8" s="50">
        <v>2018</v>
      </c>
      <c r="I8" s="53">
        <v>0.6</v>
      </c>
      <c r="M8" s="55">
        <v>41540.589999999997</v>
      </c>
      <c r="N8" s="55">
        <v>65473.66</v>
      </c>
      <c r="O8" s="56">
        <v>6654.84</v>
      </c>
      <c r="P8" s="54">
        <v>0.23519999999999999</v>
      </c>
    </row>
    <row r="9" spans="1:16">
      <c r="C9" s="52">
        <v>2019</v>
      </c>
      <c r="H9" s="50">
        <v>2019</v>
      </c>
      <c r="I9" s="53">
        <v>0.5</v>
      </c>
      <c r="M9" s="55">
        <v>65473.67</v>
      </c>
      <c r="N9" s="55">
        <v>125000</v>
      </c>
      <c r="O9" s="56">
        <v>12283.9</v>
      </c>
      <c r="P9" s="54">
        <v>0.3</v>
      </c>
    </row>
    <row r="10" spans="1:16">
      <c r="C10" s="52">
        <v>2020</v>
      </c>
      <c r="H10" s="50">
        <v>2020</v>
      </c>
      <c r="I10" s="53">
        <v>0.4</v>
      </c>
      <c r="M10" s="55">
        <v>125000.01</v>
      </c>
      <c r="N10" s="55">
        <v>166666.67000000001</v>
      </c>
      <c r="O10" s="56">
        <v>30141.8</v>
      </c>
      <c r="P10" s="54">
        <v>0.32</v>
      </c>
    </row>
    <row r="11" spans="1:16">
      <c r="C11" s="52">
        <v>2021</v>
      </c>
      <c r="H11" s="50">
        <v>2021</v>
      </c>
      <c r="I11" s="53">
        <v>0.3</v>
      </c>
      <c r="M11" s="55">
        <v>166666.68</v>
      </c>
      <c r="N11" s="55">
        <v>500000</v>
      </c>
      <c r="O11" s="56">
        <v>43475.14</v>
      </c>
      <c r="P11" s="54">
        <v>0.34</v>
      </c>
    </row>
    <row r="12" spans="1:16">
      <c r="C12" s="52">
        <v>2022</v>
      </c>
      <c r="H12" s="50">
        <v>2022</v>
      </c>
      <c r="I12" s="53">
        <v>0.2</v>
      </c>
      <c r="M12" s="55">
        <v>500000.01</v>
      </c>
      <c r="N12" s="55">
        <v>2000000</v>
      </c>
      <c r="O12" s="56">
        <v>156808.46</v>
      </c>
      <c r="P12" s="54">
        <v>0.35</v>
      </c>
    </row>
    <row r="13" spans="1:16">
      <c r="C13" s="52">
        <v>2023</v>
      </c>
      <c r="H13" s="50">
        <v>2023</v>
      </c>
      <c r="I13" s="53">
        <v>0.1</v>
      </c>
    </row>
    <row r="14" spans="1:16">
      <c r="C14" s="52">
        <v>2024</v>
      </c>
      <c r="H14" s="50">
        <v>2024</v>
      </c>
      <c r="I14" s="53">
        <v>0</v>
      </c>
    </row>
    <row r="18" spans="1:10">
      <c r="H18" s="50" t="s">
        <v>36</v>
      </c>
      <c r="I18" s="50" t="s">
        <v>127</v>
      </c>
      <c r="J18" s="50" t="s">
        <v>128</v>
      </c>
    </row>
    <row r="19" spans="1:10">
      <c r="H19" s="50">
        <v>2014</v>
      </c>
      <c r="I19" s="53">
        <v>1</v>
      </c>
      <c r="J19" s="53">
        <v>0.9</v>
      </c>
    </row>
    <row r="20" spans="1:10">
      <c r="H20" s="50">
        <v>2015</v>
      </c>
      <c r="I20" s="53" t="s">
        <v>129</v>
      </c>
      <c r="J20" s="53">
        <v>1</v>
      </c>
    </row>
    <row r="21" spans="1:10">
      <c r="A21" s="50" t="s">
        <v>48</v>
      </c>
    </row>
    <row r="22" spans="1:10">
      <c r="A22" s="50" t="s">
        <v>49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5"/>
  <sheetViews>
    <sheetView showGridLines="0" zoomScale="70" zoomScaleNormal="70" workbookViewId="0"/>
  </sheetViews>
  <sheetFormatPr baseColWidth="10" defaultColWidth="0" defaultRowHeight="15" zeroHeight="1"/>
  <cols>
    <col min="1" max="1" width="11.42578125" customWidth="1"/>
    <col min="2" max="6" width="30.7109375" customWidth="1"/>
    <col min="7" max="7" width="20.7109375" style="40" customWidth="1"/>
    <col min="8" max="8" width="15.7109375" style="40" customWidth="1"/>
    <col min="9" max="10" width="15.7109375" style="40" hidden="1" customWidth="1"/>
    <col min="11" max="11" width="11.42578125" style="22" hidden="1" customWidth="1"/>
    <col min="12" max="14" width="11.42578125" hidden="1" customWidth="1"/>
    <col min="15" max="15" width="12.7109375" hidden="1" customWidth="1"/>
    <col min="16" max="22" width="11.42578125" hidden="1" customWidth="1"/>
    <col min="23" max="16384" width="11.42578125" hidden="1"/>
  </cols>
  <sheetData>
    <row r="1" spans="1:20" ht="18.75">
      <c r="B1" s="36" t="s">
        <v>84</v>
      </c>
    </row>
    <row r="2" spans="1:20" ht="63.75" customHeight="1">
      <c r="B2" s="88" t="s">
        <v>121</v>
      </c>
      <c r="C2" s="88"/>
      <c r="D2" s="88"/>
      <c r="E2" s="88"/>
      <c r="F2" s="88"/>
      <c r="G2" s="88"/>
      <c r="O2" s="25" t="s">
        <v>58</v>
      </c>
      <c r="P2" s="25"/>
    </row>
    <row r="3" spans="1:20" s="16" customFormat="1" ht="65.25" customHeight="1">
      <c r="A3" s="46" t="s">
        <v>115</v>
      </c>
      <c r="B3" s="63" t="s">
        <v>92</v>
      </c>
      <c r="C3" s="63" t="s">
        <v>116</v>
      </c>
      <c r="D3" s="63" t="s">
        <v>117</v>
      </c>
      <c r="E3" s="61" t="s">
        <v>115</v>
      </c>
      <c r="F3" s="68" t="s">
        <v>88</v>
      </c>
      <c r="G3" s="68" t="s">
        <v>118</v>
      </c>
      <c r="H3" s="41"/>
      <c r="I3" s="41"/>
      <c r="J3" s="41"/>
      <c r="K3" s="21"/>
      <c r="L3" s="23" t="s">
        <v>50</v>
      </c>
      <c r="M3" s="23" t="s">
        <v>51</v>
      </c>
      <c r="O3" s="28" t="s">
        <v>68</v>
      </c>
      <c r="P3" s="29" t="s">
        <v>69</v>
      </c>
      <c r="Q3" s="28" t="s">
        <v>72</v>
      </c>
      <c r="R3" s="29" t="s">
        <v>73</v>
      </c>
      <c r="S3" s="28" t="s">
        <v>70</v>
      </c>
      <c r="T3" s="29" t="s">
        <v>71</v>
      </c>
    </row>
    <row r="4" spans="1:20" ht="136.5" customHeight="1">
      <c r="B4" s="64" t="s">
        <v>136</v>
      </c>
      <c r="C4" s="65">
        <v>0</v>
      </c>
      <c r="D4" s="65">
        <v>0</v>
      </c>
      <c r="E4" s="39"/>
      <c r="F4" s="74" t="s">
        <v>85</v>
      </c>
      <c r="G4" s="65">
        <v>0</v>
      </c>
      <c r="L4" s="1">
        <v>0.08</v>
      </c>
      <c r="M4" s="1">
        <v>0.01</v>
      </c>
      <c r="O4" s="30">
        <f t="shared" ref="O4:P7" si="0">+C4*$L4</f>
        <v>0</v>
      </c>
      <c r="P4" s="31">
        <f t="shared" si="0"/>
        <v>0</v>
      </c>
      <c r="Q4" s="30">
        <f t="shared" ref="Q4:R7" si="1">+C4*$L4</f>
        <v>0</v>
      </c>
      <c r="R4" s="31">
        <f t="shared" si="1"/>
        <v>0</v>
      </c>
      <c r="S4" s="30">
        <f t="shared" ref="S4:T8" si="2">+(C4*L4)</f>
        <v>0</v>
      </c>
      <c r="T4" s="31">
        <f t="shared" si="2"/>
        <v>0</v>
      </c>
    </row>
    <row r="5" spans="1:20" ht="129.75" customHeight="1">
      <c r="B5" s="64" t="s">
        <v>137</v>
      </c>
      <c r="C5" s="65">
        <v>0</v>
      </c>
      <c r="D5" s="65">
        <v>0</v>
      </c>
      <c r="E5" s="39"/>
      <c r="F5" s="74" t="s">
        <v>86</v>
      </c>
      <c r="G5" s="65">
        <v>0</v>
      </c>
      <c r="L5" s="1">
        <v>0.08</v>
      </c>
      <c r="M5" s="1">
        <v>0.03</v>
      </c>
      <c r="O5" s="30">
        <f t="shared" si="0"/>
        <v>0</v>
      </c>
      <c r="P5" s="31">
        <f t="shared" si="0"/>
        <v>0</v>
      </c>
      <c r="Q5" s="30">
        <f t="shared" si="1"/>
        <v>0</v>
      </c>
      <c r="R5" s="31">
        <f t="shared" si="1"/>
        <v>0</v>
      </c>
      <c r="S5" s="30">
        <f t="shared" si="2"/>
        <v>0</v>
      </c>
      <c r="T5" s="31">
        <f t="shared" si="2"/>
        <v>0</v>
      </c>
    </row>
    <row r="6" spans="1:20" ht="75.75" customHeight="1">
      <c r="B6" s="64" t="s">
        <v>138</v>
      </c>
      <c r="C6" s="65">
        <v>0</v>
      </c>
      <c r="D6" s="65">
        <v>0</v>
      </c>
      <c r="E6" s="39"/>
      <c r="F6" s="74" t="s">
        <v>87</v>
      </c>
      <c r="G6" s="65">
        <v>0</v>
      </c>
      <c r="L6" s="1">
        <v>0.53</v>
      </c>
      <c r="M6" s="1">
        <v>0.1</v>
      </c>
      <c r="O6" s="30">
        <f t="shared" si="0"/>
        <v>0</v>
      </c>
      <c r="P6" s="31">
        <f t="shared" si="0"/>
        <v>0</v>
      </c>
      <c r="Q6" s="30">
        <f t="shared" si="1"/>
        <v>0</v>
      </c>
      <c r="R6" s="31">
        <f t="shared" si="1"/>
        <v>0</v>
      </c>
      <c r="S6" s="30">
        <f t="shared" si="2"/>
        <v>0</v>
      </c>
      <c r="T6" s="31">
        <f t="shared" si="2"/>
        <v>0</v>
      </c>
    </row>
    <row r="7" spans="1:20" ht="61.5" customHeight="1">
      <c r="B7" s="64" t="s">
        <v>139</v>
      </c>
      <c r="C7" s="65">
        <v>0</v>
      </c>
      <c r="D7" s="65">
        <v>0</v>
      </c>
      <c r="E7" s="39"/>
      <c r="F7" s="75" t="s">
        <v>52</v>
      </c>
      <c r="G7" s="65">
        <v>0</v>
      </c>
      <c r="L7" s="1">
        <v>0.53</v>
      </c>
      <c r="M7" s="1">
        <v>0.21</v>
      </c>
      <c r="O7" s="30">
        <f t="shared" si="0"/>
        <v>0</v>
      </c>
      <c r="P7" s="31">
        <f t="shared" si="0"/>
        <v>0</v>
      </c>
      <c r="Q7" s="30">
        <f t="shared" si="1"/>
        <v>0</v>
      </c>
      <c r="R7" s="31">
        <f t="shared" si="1"/>
        <v>0</v>
      </c>
      <c r="S7" s="30">
        <f t="shared" si="2"/>
        <v>0</v>
      </c>
      <c r="T7" s="31">
        <f t="shared" si="2"/>
        <v>0</v>
      </c>
    </row>
    <row r="8" spans="1:20" ht="61.5" customHeight="1">
      <c r="B8" s="64" t="s">
        <v>147</v>
      </c>
      <c r="C8" s="65">
        <v>0</v>
      </c>
      <c r="D8" s="65">
        <v>0</v>
      </c>
      <c r="E8" s="39"/>
      <c r="F8" s="66" t="s">
        <v>123</v>
      </c>
      <c r="G8" s="67">
        <f>+SUM(G4:G7)</f>
        <v>0</v>
      </c>
      <c r="L8" s="1">
        <v>0.25</v>
      </c>
      <c r="M8" s="1">
        <v>0.04</v>
      </c>
      <c r="O8" s="30"/>
      <c r="P8" s="31"/>
      <c r="Q8" s="30"/>
      <c r="R8" s="31"/>
      <c r="S8" s="30"/>
      <c r="T8" s="31">
        <f t="shared" si="2"/>
        <v>0</v>
      </c>
    </row>
    <row r="9" spans="1:20" ht="39" customHeight="1">
      <c r="B9" s="64" t="s">
        <v>140</v>
      </c>
      <c r="C9" s="65">
        <v>0</v>
      </c>
      <c r="D9" s="65">
        <v>0</v>
      </c>
      <c r="E9" s="39"/>
      <c r="L9" s="17">
        <v>0.26500000000000001</v>
      </c>
      <c r="M9" s="1">
        <v>0.1</v>
      </c>
      <c r="O9" s="30">
        <f t="shared" ref="O9:P12" si="3">+C9*$L9</f>
        <v>0</v>
      </c>
      <c r="P9" s="31">
        <f t="shared" si="3"/>
        <v>0</v>
      </c>
      <c r="Q9" s="30">
        <f t="shared" ref="Q9:R12" si="4">+C9*$L9</f>
        <v>0</v>
      </c>
      <c r="R9" s="31">
        <f t="shared" si="4"/>
        <v>0</v>
      </c>
      <c r="S9" s="30">
        <f t="shared" ref="S9:T12" si="5">+(C9*L9)</f>
        <v>0</v>
      </c>
      <c r="T9" s="31">
        <f t="shared" si="5"/>
        <v>0</v>
      </c>
    </row>
    <row r="10" spans="1:20" ht="57" customHeight="1">
      <c r="B10" s="64" t="s">
        <v>141</v>
      </c>
      <c r="C10" s="65">
        <v>0</v>
      </c>
      <c r="D10" s="65">
        <v>0</v>
      </c>
      <c r="E10" s="39"/>
      <c r="F10" s="39"/>
      <c r="L10" s="1">
        <v>0.09</v>
      </c>
      <c r="M10" s="1">
        <v>0.01</v>
      </c>
      <c r="O10" s="30">
        <f t="shared" si="3"/>
        <v>0</v>
      </c>
      <c r="P10" s="31">
        <f t="shared" si="3"/>
        <v>0</v>
      </c>
      <c r="Q10" s="30">
        <f t="shared" si="4"/>
        <v>0</v>
      </c>
      <c r="R10" s="31">
        <f t="shared" si="4"/>
        <v>0</v>
      </c>
      <c r="S10" s="30">
        <f t="shared" si="5"/>
        <v>0</v>
      </c>
      <c r="T10" s="31">
        <f t="shared" si="5"/>
        <v>0</v>
      </c>
    </row>
    <row r="11" spans="1:20" ht="78.75" customHeight="1">
      <c r="B11" s="64" t="s">
        <v>142</v>
      </c>
      <c r="C11" s="65">
        <v>0</v>
      </c>
      <c r="D11" s="65">
        <v>0</v>
      </c>
      <c r="E11" s="39"/>
      <c r="F11" s="39"/>
      <c r="L11" s="17">
        <v>0.30399999999999999</v>
      </c>
      <c r="M11" s="1">
        <v>0.23</v>
      </c>
      <c r="O11" s="30">
        <f t="shared" si="3"/>
        <v>0</v>
      </c>
      <c r="P11" s="31">
        <f t="shared" si="3"/>
        <v>0</v>
      </c>
      <c r="Q11" s="30">
        <f t="shared" si="4"/>
        <v>0</v>
      </c>
      <c r="R11" s="31">
        <f t="shared" si="4"/>
        <v>0</v>
      </c>
      <c r="S11" s="30">
        <f t="shared" si="5"/>
        <v>0</v>
      </c>
      <c r="T11" s="31">
        <f t="shared" si="5"/>
        <v>0</v>
      </c>
    </row>
    <row r="12" spans="1:20" ht="60.75" customHeight="1">
      <c r="B12" s="64" t="s">
        <v>143</v>
      </c>
      <c r="C12" s="65">
        <v>0</v>
      </c>
      <c r="D12" s="65">
        <v>0</v>
      </c>
      <c r="E12" s="39"/>
      <c r="F12" s="39"/>
      <c r="L12" s="1">
        <v>1.6</v>
      </c>
      <c r="M12" s="1">
        <v>1.2</v>
      </c>
      <c r="O12" s="30">
        <f t="shared" si="3"/>
        <v>0</v>
      </c>
      <c r="P12" s="31">
        <f t="shared" si="3"/>
        <v>0</v>
      </c>
      <c r="Q12" s="30">
        <f t="shared" si="4"/>
        <v>0</v>
      </c>
      <c r="R12" s="31">
        <f t="shared" si="4"/>
        <v>0</v>
      </c>
      <c r="S12" s="30">
        <f t="shared" si="5"/>
        <v>0</v>
      </c>
      <c r="T12" s="31">
        <f t="shared" si="5"/>
        <v>0</v>
      </c>
    </row>
    <row r="13" spans="1:20" ht="51.75" customHeight="1">
      <c r="B13" s="66" t="s">
        <v>122</v>
      </c>
      <c r="C13" s="67">
        <f>+SUM(C4:C12)</f>
        <v>0</v>
      </c>
      <c r="D13" s="67">
        <f>+SUM(D4:D12)</f>
        <v>0</v>
      </c>
      <c r="E13" s="39"/>
      <c r="F13" s="39"/>
      <c r="N13" s="24" t="s">
        <v>55</v>
      </c>
      <c r="O13" s="32">
        <f t="shared" ref="O13:T13" si="6">+SUM(O4:O12)</f>
        <v>0</v>
      </c>
      <c r="P13" s="33">
        <f t="shared" si="6"/>
        <v>0</v>
      </c>
      <c r="Q13" s="32">
        <f t="shared" si="6"/>
        <v>0</v>
      </c>
      <c r="R13" s="33">
        <f t="shared" si="6"/>
        <v>0</v>
      </c>
      <c r="S13" s="32">
        <f t="shared" si="6"/>
        <v>0</v>
      </c>
      <c r="T13" s="33">
        <f t="shared" si="6"/>
        <v>0</v>
      </c>
    </row>
    <row r="14" spans="1:20" ht="54" customHeight="1">
      <c r="E14" s="39"/>
      <c r="F14" s="39"/>
    </row>
    <row r="15" spans="1:20" ht="15" customHeight="1">
      <c r="B15" s="39"/>
      <c r="C15" s="8"/>
      <c r="D15" s="8"/>
      <c r="E15" s="8"/>
      <c r="F15" s="39"/>
    </row>
    <row r="16" spans="1:20" ht="15" customHeight="1">
      <c r="G16" s="42"/>
      <c r="H16" s="42"/>
      <c r="I16" s="42"/>
      <c r="J16" s="42"/>
      <c r="M16" s="62" t="s">
        <v>102</v>
      </c>
    </row>
    <row r="17" spans="2:17">
      <c r="G17" s="43"/>
      <c r="H17" s="43"/>
      <c r="I17" s="43"/>
      <c r="J17" s="43"/>
      <c r="N17" t="s">
        <v>99</v>
      </c>
      <c r="O17" s="6">
        <f>+Simulador!D60</f>
        <v>0</v>
      </c>
    </row>
    <row r="18" spans="2:17" ht="30.75" customHeight="1">
      <c r="B18" s="69" t="s">
        <v>53</v>
      </c>
      <c r="C18" s="69" t="s">
        <v>85</v>
      </c>
      <c r="D18" s="69" t="s">
        <v>86</v>
      </c>
      <c r="E18" s="69" t="s">
        <v>87</v>
      </c>
      <c r="F18" s="69" t="s">
        <v>52</v>
      </c>
      <c r="G18" s="69" t="s">
        <v>120</v>
      </c>
      <c r="M18" t="s">
        <v>103</v>
      </c>
      <c r="N18" t="s">
        <v>104</v>
      </c>
      <c r="Q18" t="e">
        <f>VLOOKUP(O17,Catalogos!M2:N12,1,TRUE)</f>
        <v>#N/A</v>
      </c>
    </row>
    <row r="19" spans="2:17" ht="30">
      <c r="B19" s="66" t="s">
        <v>119</v>
      </c>
      <c r="C19" s="67">
        <f>SUM(C6,C7,C9,C10,C11,C12,G4,C8)</f>
        <v>0</v>
      </c>
      <c r="D19" s="67">
        <f>SUM(C4,C5,G5)</f>
        <v>0</v>
      </c>
      <c r="E19" s="67">
        <f>G6</f>
        <v>0</v>
      </c>
      <c r="F19" s="67">
        <f>SUM(D13,G7)</f>
        <v>0</v>
      </c>
      <c r="G19" s="67">
        <f>+SUM(C19:F19)</f>
        <v>0</v>
      </c>
      <c r="M19" t="s">
        <v>105</v>
      </c>
      <c r="N19" t="s">
        <v>106</v>
      </c>
      <c r="Q19" s="6" t="e">
        <f>O17-Q18</f>
        <v>#N/A</v>
      </c>
    </row>
    <row r="20" spans="2:17">
      <c r="M20" t="s">
        <v>107</v>
      </c>
      <c r="N20" t="s">
        <v>108</v>
      </c>
      <c r="Q20" s="57" t="e">
        <f>VLOOKUP(O17,Catalogos!M2:P12,4,1)</f>
        <v>#N/A</v>
      </c>
    </row>
    <row r="21" spans="2:17" ht="30" customHeight="1">
      <c r="B21" s="36" t="s">
        <v>84</v>
      </c>
      <c r="G21" s="42"/>
      <c r="H21" s="42"/>
      <c r="I21" s="42"/>
      <c r="J21" s="42"/>
      <c r="M21" t="s">
        <v>109</v>
      </c>
      <c r="N21" t="s">
        <v>110</v>
      </c>
      <c r="Q21" s="6" t="e">
        <f>VLOOKUP(O17,Catalogos!M1:P12,3,1)</f>
        <v>#N/A</v>
      </c>
    </row>
    <row r="22" spans="2:17">
      <c r="G22" s="44"/>
      <c r="H22" s="44"/>
      <c r="I22" s="44"/>
      <c r="J22" s="44"/>
      <c r="M22" t="s">
        <v>105</v>
      </c>
      <c r="N22" t="s">
        <v>111</v>
      </c>
      <c r="Q22" t="e">
        <f>(Q19*Q20)+Q21</f>
        <v>#N/A</v>
      </c>
    </row>
    <row r="23" spans="2:17">
      <c r="C23" s="6"/>
      <c r="D23" s="6"/>
      <c r="E23" s="6"/>
      <c r="M23" t="s">
        <v>103</v>
      </c>
      <c r="N23" t="s">
        <v>112</v>
      </c>
    </row>
    <row r="24" spans="2:17">
      <c r="C24" s="6"/>
      <c r="D24" s="6"/>
      <c r="E24" s="6"/>
      <c r="M24" t="s">
        <v>105</v>
      </c>
      <c r="N24" t="s">
        <v>113</v>
      </c>
    </row>
    <row r="25" spans="2:17">
      <c r="C25" s="6"/>
      <c r="D25" s="6"/>
      <c r="E25" s="6"/>
    </row>
    <row r="26" spans="2:17" hidden="1">
      <c r="C26" s="6"/>
      <c r="D26" s="6"/>
      <c r="E26" s="6"/>
    </row>
    <row r="27" spans="2:17" hidden="1">
      <c r="C27" s="6"/>
      <c r="D27" s="6"/>
      <c r="E27" s="6"/>
    </row>
    <row r="28" spans="2:17" hidden="1">
      <c r="C28" s="6"/>
      <c r="D28" s="6"/>
      <c r="E28" s="6"/>
    </row>
    <row r="29" spans="2:17" hidden="1">
      <c r="C29" s="6"/>
      <c r="D29" s="6"/>
      <c r="E29" s="6"/>
    </row>
    <row r="30" spans="2:17" hidden="1">
      <c r="C30" s="6"/>
      <c r="D30" s="6"/>
      <c r="E30" s="6"/>
    </row>
    <row r="31" spans="2:17" hidden="1">
      <c r="C31" s="6"/>
      <c r="D31" s="6"/>
      <c r="E31" s="6"/>
    </row>
    <row r="32" spans="2:17" hidden="1">
      <c r="C32" s="6"/>
      <c r="D32" s="6"/>
      <c r="E32" s="6"/>
    </row>
    <row r="33" spans="3:5" hidden="1">
      <c r="C33" s="6"/>
      <c r="D33" s="6"/>
      <c r="E33" s="6"/>
    </row>
    <row r="34" spans="3:5" hidden="1">
      <c r="C34" s="6"/>
      <c r="D34" s="6"/>
      <c r="E34" s="6"/>
    </row>
    <row r="35" spans="3:5" hidden="1">
      <c r="C35" s="6"/>
      <c r="D35" s="6"/>
      <c r="E35" s="6"/>
    </row>
    <row r="36" spans="3:5" hidden="1">
      <c r="C36" s="6"/>
      <c r="D36" s="6"/>
      <c r="E36" s="6"/>
    </row>
    <row r="37" spans="3:5" hidden="1">
      <c r="C37" s="6"/>
      <c r="D37" s="6"/>
      <c r="E37" s="6"/>
    </row>
    <row r="38" spans="3:5" hidden="1">
      <c r="C38" s="6"/>
      <c r="D38" s="6"/>
      <c r="E38" s="6"/>
    </row>
    <row r="39" spans="3:5" hidden="1">
      <c r="C39" s="6"/>
      <c r="D39" s="6"/>
      <c r="E39" s="6"/>
    </row>
    <row r="40" spans="3:5" hidden="1">
      <c r="C40" s="6"/>
      <c r="D40" s="6"/>
      <c r="E40" s="6"/>
    </row>
    <row r="41" spans="3:5" hidden="1">
      <c r="C41" s="6"/>
      <c r="D41" s="6"/>
      <c r="E41" s="6"/>
    </row>
    <row r="42" spans="3:5" hidden="1">
      <c r="C42" s="6"/>
      <c r="D42" s="6"/>
      <c r="E42" s="6"/>
    </row>
    <row r="43" spans="3:5" hidden="1">
      <c r="C43" s="6"/>
      <c r="D43" s="6"/>
      <c r="E43" s="6"/>
    </row>
    <row r="44" spans="3:5" hidden="1">
      <c r="C44" s="6"/>
      <c r="D44" s="6"/>
      <c r="E44" s="6"/>
    </row>
    <row r="45" spans="3:5" hidden="1">
      <c r="C45" s="6"/>
      <c r="D45" s="6"/>
      <c r="E45" s="6"/>
    </row>
    <row r="46" spans="3:5" hidden="1">
      <c r="C46" s="6"/>
      <c r="D46" s="6"/>
      <c r="E46" s="6"/>
    </row>
    <row r="47" spans="3:5" hidden="1">
      <c r="C47" s="6"/>
      <c r="D47" s="6"/>
      <c r="E47" s="6"/>
    </row>
    <row r="48" spans="3:5" hidden="1">
      <c r="C48" s="6"/>
      <c r="D48" s="6"/>
      <c r="E48" s="6"/>
    </row>
    <row r="49" spans="3:5" hidden="1">
      <c r="C49" s="6"/>
      <c r="D49" s="6"/>
      <c r="E49" s="6"/>
    </row>
    <row r="50" spans="3:5" hidden="1">
      <c r="C50" s="6"/>
      <c r="D50" s="6"/>
      <c r="E50" s="6"/>
    </row>
    <row r="51" spans="3:5" hidden="1">
      <c r="C51" s="6"/>
      <c r="D51" s="6"/>
      <c r="E51" s="6"/>
    </row>
    <row r="52" spans="3:5" hidden="1">
      <c r="C52" s="6"/>
      <c r="D52" s="6"/>
      <c r="E52" s="6"/>
    </row>
    <row r="53" spans="3:5" hidden="1">
      <c r="C53" s="6"/>
      <c r="D53" s="6"/>
      <c r="E53" s="6"/>
    </row>
    <row r="54" spans="3:5" hidden="1"/>
    <row r="55" spans="3:5" hidden="1"/>
  </sheetData>
  <sheetProtection password="C959" sheet="1" formatCells="0" formatColumns="0" formatRows="0" insertColumns="0" insertRows="0" deleteColumns="0" deleteRows="0" sort="0" autoFilter="0" pivotTables="0"/>
  <mergeCells count="1">
    <mergeCell ref="B2:G2"/>
  </mergeCells>
  <dataValidations count="2">
    <dataValidation type="decimal" operator="greaterThanOrEqual" allowBlank="1" showInputMessage="1" showErrorMessage="1" errorTitle="Valor no válido" error="La cantidad a ingresar debe ser mayor a cero (no se permiten montos negativos)." sqref="C4:D12">
      <formula1>0</formula1>
    </dataValidation>
    <dataValidation type="decimal" operator="greaterThanOrEqual" showInputMessage="1" showErrorMessage="1" errorTitle="Valor no válido" error="La cantidad a ingresar debe ser mayor a cero (no se permiten montos negativos)." sqref="G4:G7">
      <formula1>0</formula1>
    </dataValidation>
  </dataValidations>
  <hyperlinks>
    <hyperlink ref="B21" location="Simulador!A15" display="Regresar a hoja principal"/>
    <hyperlink ref="B1" location="Simulador!A15" display="Regresar a hoja principal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5"/>
  <sheetViews>
    <sheetView showGridLines="0" zoomScale="70" zoomScaleNormal="70" workbookViewId="0"/>
  </sheetViews>
  <sheetFormatPr baseColWidth="10" defaultColWidth="0" defaultRowHeight="0" customHeight="1" zeroHeight="1"/>
  <cols>
    <col min="1" max="1" width="11.42578125" customWidth="1"/>
    <col min="2" max="2" width="30.7109375" customWidth="1"/>
    <col min="3" max="3" width="32.140625" bestFit="1" customWidth="1"/>
    <col min="4" max="6" width="32.140625" style="40" customWidth="1"/>
    <col min="7" max="7" width="11.42578125" style="40" customWidth="1"/>
    <col min="8" max="8" width="11.42578125" style="40" hidden="1" customWidth="1"/>
    <col min="9" max="9" width="11.42578125" style="22" hidden="1" customWidth="1"/>
    <col min="10" max="15" width="11.42578125" hidden="1" customWidth="1"/>
    <col min="16" max="16384" width="11.42578125" hidden="1"/>
  </cols>
  <sheetData>
    <row r="1" spans="1:14" ht="15" customHeight="1">
      <c r="B1" s="36" t="s">
        <v>84</v>
      </c>
    </row>
    <row r="2" spans="1:14" ht="72.75" customHeight="1">
      <c r="B2" s="89" t="s">
        <v>124</v>
      </c>
      <c r="C2" s="89"/>
      <c r="D2" s="89"/>
      <c r="E2" s="89"/>
      <c r="F2" s="89"/>
      <c r="G2" s="49"/>
      <c r="H2" s="49"/>
    </row>
    <row r="3" spans="1:14" s="16" customFormat="1" ht="44.25" customHeight="1">
      <c r="A3" s="46" t="s">
        <v>115</v>
      </c>
      <c r="B3" s="63" t="s">
        <v>92</v>
      </c>
      <c r="C3" s="63" t="s">
        <v>57</v>
      </c>
      <c r="D3" s="70" t="s">
        <v>115</v>
      </c>
      <c r="E3" s="68" t="s">
        <v>88</v>
      </c>
      <c r="F3" s="68" t="s">
        <v>125</v>
      </c>
      <c r="G3" s="42"/>
      <c r="H3" s="42"/>
      <c r="I3" s="21"/>
      <c r="J3" s="23" t="s">
        <v>50</v>
      </c>
      <c r="K3" s="23" t="s">
        <v>51</v>
      </c>
      <c r="N3" s="25" t="s">
        <v>59</v>
      </c>
    </row>
    <row r="4" spans="1:14" ht="113.25" customHeight="1">
      <c r="B4" s="64" t="s">
        <v>136</v>
      </c>
      <c r="C4" s="65">
        <v>0</v>
      </c>
      <c r="D4" s="85"/>
      <c r="E4" s="71" t="s">
        <v>89</v>
      </c>
      <c r="F4" s="65">
        <v>0</v>
      </c>
      <c r="G4" s="43"/>
      <c r="H4" s="43"/>
      <c r="J4" s="1">
        <v>0.08</v>
      </c>
      <c r="K4" s="1">
        <v>0.01</v>
      </c>
      <c r="N4">
        <f t="shared" ref="N4:N12" si="0">+C4*J4</f>
        <v>0</v>
      </c>
    </row>
    <row r="5" spans="1:14" ht="112.5" customHeight="1">
      <c r="B5" s="64" t="s">
        <v>137</v>
      </c>
      <c r="C5" s="65">
        <v>0</v>
      </c>
      <c r="D5" s="86"/>
      <c r="E5" s="71" t="s">
        <v>148</v>
      </c>
      <c r="F5" s="65">
        <v>0</v>
      </c>
      <c r="G5" s="43"/>
      <c r="H5" s="43"/>
      <c r="J5" s="1">
        <v>0.08</v>
      </c>
      <c r="K5" s="1">
        <v>0.03</v>
      </c>
      <c r="N5">
        <f t="shared" si="0"/>
        <v>0</v>
      </c>
    </row>
    <row r="6" spans="1:14" ht="70.5" customHeight="1">
      <c r="B6" s="64" t="s">
        <v>138</v>
      </c>
      <c r="C6" s="65">
        <v>0</v>
      </c>
      <c r="D6" s="86"/>
      <c r="E6" s="43"/>
      <c r="F6" s="43"/>
      <c r="G6" s="43"/>
      <c r="H6" s="43"/>
      <c r="J6" s="1">
        <v>0.53</v>
      </c>
      <c r="K6" s="1">
        <v>0.1</v>
      </c>
      <c r="N6">
        <f t="shared" si="0"/>
        <v>0</v>
      </c>
    </row>
    <row r="7" spans="1:14" ht="57.75" customHeight="1">
      <c r="B7" s="64" t="s">
        <v>139</v>
      </c>
      <c r="C7" s="65">
        <v>0</v>
      </c>
      <c r="D7" s="86"/>
      <c r="E7" s="43"/>
      <c r="F7" s="43"/>
      <c r="G7" s="43"/>
      <c r="H7" s="43"/>
      <c r="J7" s="1">
        <v>0.53</v>
      </c>
      <c r="K7" s="1">
        <v>0.21</v>
      </c>
      <c r="N7">
        <f t="shared" si="0"/>
        <v>0</v>
      </c>
    </row>
    <row r="8" spans="1:14" ht="57.75" customHeight="1">
      <c r="B8" s="64" t="s">
        <v>147</v>
      </c>
      <c r="C8" s="65">
        <v>0</v>
      </c>
      <c r="D8" s="86"/>
      <c r="E8" s="43"/>
      <c r="F8" s="43"/>
      <c r="G8" s="43"/>
      <c r="H8" s="43"/>
      <c r="J8" s="1">
        <v>0.25</v>
      </c>
      <c r="K8" s="1">
        <v>0.04</v>
      </c>
      <c r="N8">
        <f t="shared" si="0"/>
        <v>0</v>
      </c>
    </row>
    <row r="9" spans="1:14" ht="44.25" customHeight="1">
      <c r="B9" s="64" t="s">
        <v>140</v>
      </c>
      <c r="C9" s="65">
        <v>0</v>
      </c>
      <c r="D9" s="86"/>
      <c r="E9" s="43"/>
      <c r="F9" s="43"/>
      <c r="G9" s="43"/>
      <c r="H9" s="43"/>
      <c r="J9" s="17">
        <v>0.26500000000000001</v>
      </c>
      <c r="K9" s="1">
        <v>0.1</v>
      </c>
      <c r="N9">
        <f t="shared" si="0"/>
        <v>0</v>
      </c>
    </row>
    <row r="10" spans="1:14" ht="56.25" customHeight="1">
      <c r="B10" s="64" t="s">
        <v>141</v>
      </c>
      <c r="C10" s="65">
        <v>0</v>
      </c>
      <c r="D10" s="86"/>
      <c r="G10" s="43"/>
      <c r="H10" s="43"/>
      <c r="J10" s="1">
        <v>0.09</v>
      </c>
      <c r="K10" s="1">
        <v>0.01</v>
      </c>
      <c r="N10">
        <f t="shared" si="0"/>
        <v>0</v>
      </c>
    </row>
    <row r="11" spans="1:14" ht="63.75" customHeight="1">
      <c r="B11" s="64" t="s">
        <v>142</v>
      </c>
      <c r="C11" s="65">
        <v>0</v>
      </c>
      <c r="D11" s="86"/>
      <c r="G11" s="43"/>
      <c r="H11" s="43"/>
      <c r="J11" s="17">
        <v>0.30399999999999999</v>
      </c>
      <c r="K11" s="1">
        <v>0.23</v>
      </c>
      <c r="N11">
        <f t="shared" si="0"/>
        <v>0</v>
      </c>
    </row>
    <row r="12" spans="1:14" ht="51.75" customHeight="1">
      <c r="B12" s="64" t="s">
        <v>143</v>
      </c>
      <c r="C12" s="65">
        <v>0</v>
      </c>
      <c r="D12" s="86"/>
      <c r="E12" s="69" t="s">
        <v>53</v>
      </c>
      <c r="F12" s="69" t="s">
        <v>57</v>
      </c>
      <c r="G12" s="43"/>
      <c r="H12" s="43"/>
      <c r="J12" s="1">
        <v>1.6</v>
      </c>
      <c r="K12" s="1">
        <v>1.2</v>
      </c>
      <c r="N12">
        <f t="shared" si="0"/>
        <v>0</v>
      </c>
    </row>
    <row r="13" spans="1:14" ht="35.25" customHeight="1">
      <c r="B13" s="66" t="s">
        <v>144</v>
      </c>
      <c r="C13" s="67">
        <f>+SUM(C4:C12)</f>
        <v>0</v>
      </c>
      <c r="D13" s="86"/>
      <c r="E13" s="72" t="s">
        <v>98</v>
      </c>
      <c r="F13" s="67">
        <f>SUM(C13,F4,F5)</f>
        <v>0</v>
      </c>
      <c r="G13" s="43"/>
      <c r="H13" s="43"/>
      <c r="M13" s="24" t="s">
        <v>55</v>
      </c>
      <c r="N13" s="24">
        <f>+SUM(N4:N12)</f>
        <v>0</v>
      </c>
    </row>
    <row r="14" spans="1:14" ht="30" customHeight="1">
      <c r="B14" s="39"/>
      <c r="C14" s="39"/>
      <c r="D14" s="44"/>
      <c r="G14" s="44"/>
      <c r="H14" s="44"/>
    </row>
    <row r="15" spans="1:14" ht="15">
      <c r="B15" s="39"/>
      <c r="C15" s="39"/>
    </row>
    <row r="16" spans="1:14" ht="18.75">
      <c r="B16" s="36" t="s">
        <v>84</v>
      </c>
      <c r="C16" s="39"/>
    </row>
    <row r="17" spans="2:8" ht="15"/>
    <row r="18" spans="2:8" ht="15" customHeight="1">
      <c r="D18" s="42"/>
      <c r="E18" s="42"/>
      <c r="F18" s="42"/>
      <c r="G18" s="42"/>
      <c r="H18" s="42"/>
    </row>
    <row r="19" spans="2:8" ht="15" hidden="1">
      <c r="B19" s="39"/>
      <c r="C19" s="39"/>
      <c r="D19" s="43"/>
      <c r="E19" s="43"/>
      <c r="F19" s="43"/>
      <c r="G19" s="43"/>
      <c r="H19" s="43"/>
    </row>
    <row r="20" spans="2:8" ht="15" hidden="1">
      <c r="B20" s="39"/>
      <c r="C20" s="39"/>
    </row>
    <row r="21" spans="2:8" ht="15" hidden="1">
      <c r="B21" s="39"/>
      <c r="C21" s="39"/>
    </row>
    <row r="22" spans="2:8" ht="15" hidden="1"/>
    <row r="23" spans="2:8" ht="15" hidden="1" customHeight="1">
      <c r="D23" s="42"/>
      <c r="E23" s="42"/>
      <c r="F23" s="42"/>
      <c r="G23" s="42"/>
      <c r="H23" s="42"/>
    </row>
    <row r="24" spans="2:8" ht="15" hidden="1">
      <c r="B24" s="39"/>
      <c r="C24" s="39"/>
      <c r="D24" s="44"/>
      <c r="E24" s="44"/>
      <c r="F24" s="44"/>
      <c r="G24" s="44"/>
      <c r="H24" s="44"/>
    </row>
    <row r="25" spans="2:8" ht="15" hidden="1"/>
    <row r="26" spans="2:8" ht="15" hidden="1"/>
    <row r="27" spans="2:8" ht="15" hidden="1"/>
    <row r="28" spans="2:8" ht="15" hidden="1"/>
    <row r="29" spans="2:8" ht="15" hidden="1"/>
    <row r="30" spans="2:8" ht="15" hidden="1"/>
    <row r="31" spans="2:8" ht="15" hidden="1"/>
    <row r="32" spans="2:8" ht="15" hidden="1"/>
    <row r="33" ht="15" hidden="1"/>
    <row r="34" ht="15" hidden="1"/>
    <row r="35" ht="15" hidden="1"/>
    <row r="36" ht="15" hidden="1"/>
    <row r="37" ht="15" hidden="1"/>
    <row r="38" ht="15" hidden="1"/>
    <row r="39" ht="15" hidden="1"/>
    <row r="40" ht="15" hidden="1"/>
    <row r="41" ht="15" hidden="1"/>
    <row r="42" ht="15" hidden="1"/>
    <row r="43" ht="15" hidden="1"/>
    <row r="44" ht="15" hidden="1"/>
    <row r="45" ht="15" hidden="1"/>
    <row r="46" ht="15" hidden="1"/>
    <row r="47" ht="15" hidden="1"/>
    <row r="48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</sheetData>
  <sheetProtection password="C959" sheet="1" formatCells="0" formatColumns="0" formatRows="0" insertColumns="0" insertRows="0" deleteColumns="0" deleteRows="0" sort="0" autoFilter="0" pivotTables="0"/>
  <mergeCells count="1">
    <mergeCell ref="B2:F2"/>
  </mergeCells>
  <dataValidations count="1">
    <dataValidation type="decimal" operator="greaterThanOrEqual" showInputMessage="1" showErrorMessage="1" errorTitle="Valor no válido" error="La cantidad a ingresar debe ser mayor a cero (no se permiten montos negativos)." sqref="C4:C12 F4:F5">
      <formula1>0</formula1>
    </dataValidation>
  </dataValidations>
  <hyperlinks>
    <hyperlink ref="B16" location="Simulador!A15" display="Regresar a hoja principal"/>
    <hyperlink ref="B1" location="Simulador!A15" display="Regresar a hoja principal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Hoja1</vt:lpstr>
      <vt:lpstr>Simulador</vt:lpstr>
      <vt:lpstr>Catalogos</vt:lpstr>
      <vt:lpstr>Ingresos</vt:lpstr>
      <vt:lpstr>Compras</vt:lpstr>
      <vt:lpstr>año</vt:lpstr>
      <vt:lpstr>bimestre</vt:lpstr>
      <vt:lpstr>cienmil</vt:lpstr>
      <vt:lpstr>estimuloisr</vt:lpstr>
      <vt:lpstr>estimuloivaieps</vt:lpstr>
      <vt:lpstr>sector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Mendoza</dc:creator>
  <cp:lastModifiedBy>Ernesto Salvador Garcia Velázquez</cp:lastModifiedBy>
  <cp:lastPrinted>2014-09-05T00:24:45Z</cp:lastPrinted>
  <dcterms:created xsi:type="dcterms:W3CDTF">2014-07-02T22:40:46Z</dcterms:created>
  <dcterms:modified xsi:type="dcterms:W3CDTF">2015-03-06T05:16:05Z</dcterms:modified>
</cp:coreProperties>
</file>