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NPRA1\111_contador\1_DISCO_D\Rogelio\Archivos Rogelio\Calculadoras\2015\"/>
    </mc:Choice>
  </mc:AlternateContent>
  <bookViews>
    <workbookView xWindow="720" yWindow="1185" windowWidth="15480" windowHeight="9120" activeTab="1"/>
  </bookViews>
  <sheets>
    <sheet name="Hoja1" sheetId="6" r:id="rId1"/>
    <sheet name="Sueldo" sheetId="1" r:id="rId2"/>
    <sheet name="Previsión Social" sheetId="5" state="hidden" r:id="rId3"/>
    <sheet name="ISR Salario" sheetId="2" r:id="rId4"/>
    <sheet name="IMSS" sheetId="4" r:id="rId5"/>
  </sheets>
  <definedNames>
    <definedName name="_xlnm.Print_Area" localSheetId="2">'Previsión Social'!$A$1:$G$9</definedName>
    <definedName name="_xlnm.Print_Area" localSheetId="1">Sueldo!$A$33:$G$49</definedName>
    <definedName name="C_F">IMSS!$B$5</definedName>
    <definedName name="CesVej_P">IMSS!$B$12</definedName>
    <definedName name="CesVej_T">IMSS!$C$12</definedName>
    <definedName name="CF">'ISR Salario'!$C$6:$C$13</definedName>
    <definedName name="Col">IF(Sueldo!$D$22&lt;14,Vac_1,IF(AND(Sueldo!$D$22&gt;13,Sueldo!$D$22&lt;27),Vac_2,IF(AND(Sueldo!$D$22&gt;26,Sueldo!$D$22&lt;40),Vac_3,Vac_4)))</definedName>
    <definedName name="Exc_P">IMSS!$B$6</definedName>
    <definedName name="Exc_T">IMSS!$C$6</definedName>
    <definedName name="F_Ini">OFFSET(IMSS!$F$6,0,0,COUNTA(IMSS!$F$6:$F$40)-1)</definedName>
    <definedName name="Guard">IMSS!$B$11</definedName>
    <definedName name="IV_P">IMSS!$B$10</definedName>
    <definedName name="IV_T">IMSS!$C$10</definedName>
    <definedName name="LI">'ISR Salario'!$A$6:$A$13</definedName>
    <definedName name="PDiner_P">IMSS!$B$7</definedName>
    <definedName name="PDiner_T">IMSS!$C$7</definedName>
    <definedName name="PEspec_P">IMSS!$B$8</definedName>
    <definedName name="PEspec_T">IMSS!$C$8</definedName>
    <definedName name="Porc">'ISR Salario'!$D$6:$D$13</definedName>
    <definedName name="PorcINFON">IMSS!$B$13</definedName>
    <definedName name="R_T">IF(IMSS!$B$9&lt;0.005,0.005,IMSS!$B$9)</definedName>
    <definedName name="Retiro">IMSS!$B$14</definedName>
    <definedName name="Rng">OFFSET(IMSS!$F$6,0,0,COUNTA(IMSS!$F$6:$F$40)-1,COUNTA(IMSS!$F$6:$AE$6)+1)</definedName>
    <definedName name="SDI_TOPE">IMSS!$B$1</definedName>
    <definedName name="Semestre">IMSS!$AA$5:$AB$5</definedName>
    <definedName name="SMGDF">IMSS!$B$16</definedName>
    <definedName name="SMGZ">VLOOKUP(IMSS!$D$3,IMSS!$A$16:$C$18,2)</definedName>
    <definedName name="T_ISR">'ISR Salario'!$A$6:$D$16</definedName>
    <definedName name="T_SAE">'ISR Salario'!$F$6:$H$16</definedName>
    <definedName name="TOPE_IV">IMSS!$B$2</definedName>
    <definedName name="TPorc">IMSS!$A$1:$D$18</definedName>
    <definedName name="Vac_1">IMSS!$AG$5:$AH$17</definedName>
    <definedName name="Vac_2">IMSS!$AI$5:$AJ$17</definedName>
    <definedName name="Vac_3">IMSS!$AK$5:$AL$17</definedName>
    <definedName name="Vac_4">IMSS!$AM$5:$AN$17</definedName>
    <definedName name="Zona">IMSS!$A$16:$A$18</definedName>
    <definedName name="ZuZeuk" hidden="1">"Atilegna"</definedName>
  </definedNames>
  <calcPr calcId="152511"/>
</workbook>
</file>

<file path=xl/calcChain.xml><?xml version="1.0" encoding="utf-8"?>
<calcChain xmlns="http://schemas.openxmlformats.org/spreadsheetml/2006/main">
  <c r="D9" i="4" l="1"/>
  <c r="P18" i="4" l="1"/>
  <c r="P19" i="4"/>
  <c r="P20" i="4"/>
  <c r="P21" i="4"/>
  <c r="P22" i="4"/>
  <c r="P23" i="4"/>
  <c r="P24" i="4"/>
  <c r="G23" i="4"/>
  <c r="H23" i="4"/>
  <c r="I23" i="4"/>
  <c r="J23" i="4"/>
  <c r="K23" i="4"/>
  <c r="L23" i="4"/>
  <c r="M23" i="4"/>
  <c r="N23" i="4"/>
  <c r="O23" i="4"/>
  <c r="Q23" i="4"/>
  <c r="R23" i="4"/>
  <c r="S23" i="4"/>
  <c r="T23" i="4"/>
  <c r="U23" i="4"/>
  <c r="V23" i="4"/>
  <c r="W23" i="4"/>
  <c r="X23" i="4"/>
  <c r="Y23" i="4" s="1"/>
  <c r="Z23" i="4"/>
  <c r="AA23" i="4"/>
  <c r="AB23" i="4"/>
  <c r="F35" i="1" l="1"/>
  <c r="A33" i="1"/>
  <c r="B23" i="1"/>
  <c r="H2" i="1"/>
  <c r="C26" i="1"/>
  <c r="B9" i="1" l="1"/>
  <c r="B5" i="1"/>
  <c r="C3" i="1" s="1"/>
  <c r="B21" i="1"/>
  <c r="D6" i="1" l="1"/>
  <c r="B2" i="1"/>
  <c r="B3" i="1" s="1"/>
  <c r="D2" i="1"/>
  <c r="H3" i="1"/>
  <c r="G28" i="1"/>
  <c r="G23" i="1"/>
  <c r="K23" i="1" s="1"/>
  <c r="K20" i="1"/>
  <c r="K28" i="1" l="1"/>
  <c r="D3" i="1"/>
  <c r="D5" i="1" s="1"/>
  <c r="D7" i="1" s="1"/>
  <c r="B30" i="1"/>
  <c r="B6" i="1" l="1"/>
  <c r="E7" i="1"/>
  <c r="K29" i="1"/>
  <c r="AA18" i="4" l="1"/>
  <c r="AB18" i="4"/>
  <c r="AA19" i="4"/>
  <c r="AB19" i="4"/>
  <c r="AA20" i="4"/>
  <c r="AB20" i="4"/>
  <c r="AA21" i="4"/>
  <c r="AA22" i="4" s="1"/>
  <c r="AA24" i="4" s="1"/>
  <c r="AB21" i="4"/>
  <c r="AB22" i="4" s="1"/>
  <c r="AB24" i="4" s="1"/>
  <c r="Z18" i="4"/>
  <c r="Z19" i="4" s="1"/>
  <c r="Z20" i="4" s="1"/>
  <c r="Z21" i="4" s="1"/>
  <c r="Z22" i="4" s="1"/>
  <c r="Z24" i="4" s="1"/>
  <c r="X18" i="4"/>
  <c r="X19" i="4" s="1"/>
  <c r="X20" i="4" s="1"/>
  <c r="X21" i="4" s="1"/>
  <c r="X22" i="4" s="1"/>
  <c r="X24" i="4" s="1"/>
  <c r="W18" i="4"/>
  <c r="W19" i="4" s="1"/>
  <c r="V18" i="4"/>
  <c r="V19" i="4" s="1"/>
  <c r="V20" i="4" s="1"/>
  <c r="V21" i="4" s="1"/>
  <c r="V22" i="4" s="1"/>
  <c r="V24" i="4" s="1"/>
  <c r="U18" i="4"/>
  <c r="U19" i="4" s="1"/>
  <c r="U20" i="4" s="1"/>
  <c r="U21" i="4" s="1"/>
  <c r="U22" i="4" s="1"/>
  <c r="U24" i="4" s="1"/>
  <c r="T18" i="4"/>
  <c r="T19" i="4" s="1"/>
  <c r="T20" i="4" s="1"/>
  <c r="T21" i="4" s="1"/>
  <c r="T22" i="4" s="1"/>
  <c r="T24" i="4" s="1"/>
  <c r="S18" i="4"/>
  <c r="S19" i="4" s="1"/>
  <c r="S20" i="4" s="1"/>
  <c r="S21" i="4" s="1"/>
  <c r="S22" i="4" s="1"/>
  <c r="S24" i="4" s="1"/>
  <c r="R18" i="4"/>
  <c r="R19" i="4" s="1"/>
  <c r="R20" i="4" s="1"/>
  <c r="R21" i="4" s="1"/>
  <c r="R22" i="4" s="1"/>
  <c r="R24" i="4" s="1"/>
  <c r="Q18" i="4"/>
  <c r="Q19" i="4" s="1"/>
  <c r="Q20" i="4" s="1"/>
  <c r="Q21" i="4" s="1"/>
  <c r="Q22" i="4" s="1"/>
  <c r="Q24" i="4" s="1"/>
  <c r="O18" i="4"/>
  <c r="O19" i="4" s="1"/>
  <c r="O20" i="4" s="1"/>
  <c r="O21" i="4" s="1"/>
  <c r="O22" i="4" s="1"/>
  <c r="O24" i="4" s="1"/>
  <c r="N18" i="4"/>
  <c r="N19" i="4" s="1"/>
  <c r="M18" i="4"/>
  <c r="M19" i="4" s="1"/>
  <c r="M20" i="4" s="1"/>
  <c r="M21" i="4" s="1"/>
  <c r="M22" i="4" s="1"/>
  <c r="M24" i="4" s="1"/>
  <c r="L18" i="4"/>
  <c r="L19" i="4" s="1"/>
  <c r="L20" i="4" s="1"/>
  <c r="L21" i="4" s="1"/>
  <c r="L22" i="4" s="1"/>
  <c r="L24" i="4" s="1"/>
  <c r="K18" i="4"/>
  <c r="K19" i="4" s="1"/>
  <c r="K20" i="4" s="1"/>
  <c r="K21" i="4" s="1"/>
  <c r="K22" i="4" s="1"/>
  <c r="K24" i="4" s="1"/>
  <c r="J18" i="4"/>
  <c r="J19" i="4" s="1"/>
  <c r="J20" i="4" s="1"/>
  <c r="J21" i="4" s="1"/>
  <c r="J22" i="4" s="1"/>
  <c r="J24" i="4" s="1"/>
  <c r="I18" i="4"/>
  <c r="I19" i="4" s="1"/>
  <c r="I20" i="4" s="1"/>
  <c r="I21" i="4" s="1"/>
  <c r="I22" i="4" s="1"/>
  <c r="I24" i="4" s="1"/>
  <c r="H18" i="4"/>
  <c r="H19" i="4" s="1"/>
  <c r="H20" i="4" s="1"/>
  <c r="H21" i="4" s="1"/>
  <c r="H22" i="4" s="1"/>
  <c r="H24" i="4" s="1"/>
  <c r="G18" i="4"/>
  <c r="G19" i="4" s="1"/>
  <c r="G20" i="4" s="1"/>
  <c r="G21" i="4" s="1"/>
  <c r="G22" i="4" s="1"/>
  <c r="G24" i="4" s="1"/>
  <c r="P6" i="4"/>
  <c r="P7" i="4"/>
  <c r="P8" i="4"/>
  <c r="P9" i="4"/>
  <c r="P10" i="4"/>
  <c r="P11" i="4"/>
  <c r="P12" i="4"/>
  <c r="P13" i="4"/>
  <c r="P14" i="4"/>
  <c r="P15" i="4"/>
  <c r="P16" i="4"/>
  <c r="P17" i="4"/>
  <c r="S6" i="4"/>
  <c r="S7" i="4"/>
  <c r="S8" i="4"/>
  <c r="S9" i="4"/>
  <c r="S10" i="4"/>
  <c r="S11" i="4"/>
  <c r="S12" i="4"/>
  <c r="S13" i="4"/>
  <c r="S14" i="4"/>
  <c r="S15" i="4"/>
  <c r="S16" i="4"/>
  <c r="S17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D4" i="1"/>
  <c r="B4" i="1"/>
  <c r="G29" i="1"/>
  <c r="A3" i="4"/>
  <c r="B16" i="4" s="1"/>
  <c r="B3" i="4"/>
  <c r="F14" i="1"/>
  <c r="D3" i="4"/>
  <c r="A2" i="4" l="1"/>
  <c r="B2" i="4" s="1"/>
  <c r="N20" i="4"/>
  <c r="Y19" i="4"/>
  <c r="W20" i="4"/>
  <c r="B14" i="4"/>
  <c r="D14" i="4" s="1"/>
  <c r="C12" i="4"/>
  <c r="B13" i="4"/>
  <c r="D13" i="4" s="1"/>
  <c r="C8" i="4"/>
  <c r="C7" i="4"/>
  <c r="B10" i="4"/>
  <c r="B18" i="4"/>
  <c r="B11" i="4"/>
  <c r="D11" i="4" s="1"/>
  <c r="B6" i="4"/>
  <c r="C10" i="4"/>
  <c r="B17" i="4"/>
  <c r="B7" i="4"/>
  <c r="B5" i="4"/>
  <c r="D5" i="4" s="1"/>
  <c r="A1" i="4"/>
  <c r="B1" i="4" s="1"/>
  <c r="C6" i="4"/>
  <c r="D21" i="1"/>
  <c r="D22" i="1"/>
  <c r="E10" i="1" s="1"/>
  <c r="W21" i="4" l="1"/>
  <c r="Y20" i="4"/>
  <c r="N21" i="4"/>
  <c r="E12" i="1"/>
  <c r="H4" i="1"/>
  <c r="H5" i="1" s="1"/>
  <c r="H7" i="1" s="1"/>
  <c r="G22" i="1"/>
  <c r="F11" i="1"/>
  <c r="B12" i="1"/>
  <c r="F13" i="1"/>
  <c r="C10" i="1" s="1"/>
  <c r="B10" i="1" s="1"/>
  <c r="A35" i="1" s="1"/>
  <c r="D10" i="4"/>
  <c r="D6" i="4"/>
  <c r="D7" i="4"/>
  <c r="N22" i="4" l="1"/>
  <c r="W22" i="4"/>
  <c r="Y21" i="4"/>
  <c r="B25" i="1"/>
  <c r="B24" i="1"/>
  <c r="K22" i="1"/>
  <c r="G26" i="1"/>
  <c r="K26" i="1" s="1"/>
  <c r="E17" i="1"/>
  <c r="E13" i="1"/>
  <c r="C13" i="1"/>
  <c r="G27" i="1"/>
  <c r="K27" i="1" s="1"/>
  <c r="E16" i="1"/>
  <c r="C15" i="1"/>
  <c r="E14" i="1"/>
  <c r="C14" i="1"/>
  <c r="C19" i="1"/>
  <c r="E18" i="1"/>
  <c r="C18" i="1"/>
  <c r="N24" i="4" l="1"/>
  <c r="W24" i="4"/>
  <c r="Y22" i="4"/>
  <c r="B29" i="1"/>
  <c r="C36" i="1" s="1"/>
  <c r="C25" i="1"/>
  <c r="B28" i="1"/>
  <c r="C20" i="1"/>
  <c r="Y24" i="4" l="1"/>
  <c r="B12" i="4"/>
  <c r="B8" i="4"/>
  <c r="C35" i="1"/>
  <c r="C29" i="1"/>
  <c r="C28" i="1"/>
  <c r="B27" i="1"/>
  <c r="C34" i="1" s="1"/>
  <c r="D12" i="4" l="1"/>
  <c r="E19" i="1"/>
  <c r="D8" i="4"/>
  <c r="E15" i="1"/>
  <c r="E34" i="1"/>
  <c r="C37" i="1"/>
  <c r="C30" i="1"/>
  <c r="C27" i="1"/>
  <c r="B31" i="1"/>
  <c r="F33" i="1" s="1"/>
  <c r="D36" i="1" l="1"/>
  <c r="E36" i="1" s="1"/>
  <c r="J17" i="1"/>
  <c r="G25" i="1"/>
  <c r="K25" i="1" s="1"/>
  <c r="E20" i="1"/>
  <c r="J16" i="1"/>
  <c r="G24" i="1"/>
  <c r="C31" i="1"/>
  <c r="A37" i="1"/>
  <c r="D27" i="1"/>
  <c r="A27" i="1"/>
  <c r="B34" i="1" s="1"/>
  <c r="J18" i="1" l="1"/>
  <c r="D35" i="1"/>
  <c r="K24" i="1"/>
  <c r="K30" i="1" s="1"/>
  <c r="K31" i="1" s="1"/>
  <c r="G30" i="1"/>
  <c r="G31" i="1" l="1"/>
  <c r="E30" i="1"/>
  <c r="D37" i="1"/>
  <c r="E35" i="1"/>
  <c r="E37" i="1" s="1"/>
</calcChain>
</file>

<file path=xl/sharedStrings.xml><?xml version="1.0" encoding="utf-8"?>
<sst xmlns="http://schemas.openxmlformats.org/spreadsheetml/2006/main" count="236" uniqueCount="164">
  <si>
    <t>Excedente</t>
  </si>
  <si>
    <t>lim.Inferior</t>
  </si>
  <si>
    <t>Cuota fija</t>
  </si>
  <si>
    <t>% s Excedente</t>
  </si>
  <si>
    <t>Impuesto s/prod. del trab.</t>
  </si>
  <si>
    <t>Crédito al salario</t>
  </si>
  <si>
    <t>Límite</t>
  </si>
  <si>
    <t>Cuota</t>
  </si>
  <si>
    <t>%</t>
  </si>
  <si>
    <t>inferior</t>
  </si>
  <si>
    <t>superior</t>
  </si>
  <si>
    <t>fija</t>
  </si>
  <si>
    <t>Salario Diario</t>
  </si>
  <si>
    <t>S.B.C.</t>
  </si>
  <si>
    <t>Factor</t>
  </si>
  <si>
    <t>IMSS</t>
  </si>
  <si>
    <t>PORCENTAJES  PARA EL  CALCULO DE  DETERMINACIÓN DE CUOTAS</t>
  </si>
  <si>
    <t>VIGENTES A PARTIR DEL 1º DE JULIO DE 1997.</t>
  </si>
  <si>
    <t>ENFERMEDADES Y MATERNIDAD</t>
  </si>
  <si>
    <t xml:space="preserve"> </t>
  </si>
  <si>
    <t>FECHA INICIO</t>
  </si>
  <si>
    <t>CUOTA FIJA* S/1SMDF</t>
  </si>
  <si>
    <t>EXCEDENTE A 3 SMDF*</t>
  </si>
  <si>
    <t>PRESTACIONES EN DINERO</t>
  </si>
  <si>
    <t>GASTOS MÉDICOS PENSIONADOS</t>
  </si>
  <si>
    <t>INVALIDEZ Y VIDA</t>
  </si>
  <si>
    <t>GUARDERIA</t>
  </si>
  <si>
    <t>RETIRO**</t>
  </si>
  <si>
    <t>INFONAVIT</t>
  </si>
  <si>
    <t>CESANTIA EN EDAD AVANZADA Y VEJEZ **</t>
  </si>
  <si>
    <t>TOPES DE SALARIO EN VSMDF</t>
  </si>
  <si>
    <t>PATRON</t>
  </si>
  <si>
    <t>ASEG</t>
  </si>
  <si>
    <t>SUMA</t>
  </si>
  <si>
    <t>SDI</t>
  </si>
  <si>
    <t>1er Semestre</t>
  </si>
  <si>
    <t>2do Semestre</t>
  </si>
  <si>
    <t>01/07/1997</t>
  </si>
  <si>
    <t>Salarios Mínimos</t>
  </si>
  <si>
    <t>Dias de Vacaciones</t>
  </si>
  <si>
    <t>ZONA</t>
  </si>
  <si>
    <t>C</t>
  </si>
  <si>
    <t>Conceptos</t>
  </si>
  <si>
    <t>Patrón</t>
  </si>
  <si>
    <t>Trabajador</t>
  </si>
  <si>
    <t>Años</t>
  </si>
  <si>
    <t>Días</t>
  </si>
  <si>
    <t>Fija</t>
  </si>
  <si>
    <t>A</t>
  </si>
  <si>
    <t>B</t>
  </si>
  <si>
    <t>Excede</t>
  </si>
  <si>
    <t>Prest. Dinero</t>
  </si>
  <si>
    <t>Prest. en Esp.</t>
  </si>
  <si>
    <t>Prima de R.T.</t>
  </si>
  <si>
    <t>I. y V</t>
  </si>
  <si>
    <t>Guarderia y PS</t>
  </si>
  <si>
    <t>Cesantía y Vejez</t>
  </si>
  <si>
    <t>RETIRO</t>
  </si>
  <si>
    <t>Salario Mínimo General</t>
  </si>
  <si>
    <t>ARTICULO</t>
  </si>
  <si>
    <t>Art.-106-I</t>
  </si>
  <si>
    <t>Art.-106-II</t>
  </si>
  <si>
    <t>Art.-107-I Y II</t>
  </si>
  <si>
    <t>Art.-25</t>
  </si>
  <si>
    <t>Art.-147</t>
  </si>
  <si>
    <t>Art.-211</t>
  </si>
  <si>
    <t>Art.-168-I</t>
  </si>
  <si>
    <t>Art.-168-II</t>
  </si>
  <si>
    <t>Art.-28</t>
  </si>
  <si>
    <t>TRANSITORIOS-VIGESIMO QUINTO</t>
  </si>
  <si>
    <t>Exc. A 3 SMDF</t>
  </si>
  <si>
    <t>Prestaciones en dinero</t>
  </si>
  <si>
    <t>Prestaciones en especie</t>
  </si>
  <si>
    <t>Invalidez y vida</t>
  </si>
  <si>
    <t>Tope Salarial</t>
  </si>
  <si>
    <t>Año</t>
  </si>
  <si>
    <t>Sueldo</t>
  </si>
  <si>
    <t>Neto</t>
  </si>
  <si>
    <t>Prima Vacacional</t>
  </si>
  <si>
    <t>Dias Vacac.</t>
  </si>
  <si>
    <t>S/Premio</t>
  </si>
  <si>
    <t>P. Puntualidad</t>
  </si>
  <si>
    <t>P. Asistencia</t>
  </si>
  <si>
    <t>F. Ingreso</t>
  </si>
  <si>
    <t>F. Actual</t>
  </si>
  <si>
    <t>Antigüedad</t>
  </si>
  <si>
    <t>Dias a Calcular</t>
  </si>
  <si>
    <t>Partes de Factor</t>
  </si>
  <si>
    <t>Porc. Descuentos</t>
  </si>
  <si>
    <t>Impuesto Marginal</t>
  </si>
  <si>
    <t>Riesgo de Trabajo</t>
  </si>
  <si>
    <t>Obrero</t>
  </si>
  <si>
    <t>Cálculo Cuotas I.M.S.S.</t>
  </si>
  <si>
    <t>Ces. Y Vejez</t>
  </si>
  <si>
    <t>Provisiones Patronales</t>
  </si>
  <si>
    <t>Ces. Y Vejez Patrón</t>
  </si>
  <si>
    <t>IMSS patrón</t>
  </si>
  <si>
    <t xml:space="preserve"> 2% Retiro</t>
  </si>
  <si>
    <t>5% INFONAVIT</t>
  </si>
  <si>
    <t>TRABAJADORES DE PLANTA (PRESTACIONES MENSUALES ESTIMADAS)</t>
  </si>
  <si>
    <t>CONCEPTO</t>
  </si>
  <si>
    <t>APLICACIÓN</t>
  </si>
  <si>
    <t>TOPE</t>
  </si>
  <si>
    <t>Premio Puntualidad</t>
  </si>
  <si>
    <t>11% sobre Salario Base</t>
  </si>
  <si>
    <t>10% sobre Salario Integrado</t>
  </si>
  <si>
    <t>Fondo Ahorro Trabajador</t>
  </si>
  <si>
    <t>10% sobre Salario Base</t>
  </si>
  <si>
    <t>1.3 VSMGZ elevado al año</t>
  </si>
  <si>
    <t>Fondo Ahorro Empresa</t>
  </si>
  <si>
    <t>Mismo Importe del Fondo de Ahorro Empresa</t>
  </si>
  <si>
    <t>Vale de Despensa</t>
  </si>
  <si>
    <t>15% sobre Salario Base</t>
  </si>
  <si>
    <t>40% de 1 SMGDF elevado al mes</t>
  </si>
  <si>
    <t>Gasto Médico</t>
  </si>
  <si>
    <t>Cuota IMSS</t>
  </si>
  <si>
    <t>Pagado totalmente por el patrón</t>
  </si>
  <si>
    <t>Aguinaldo</t>
  </si>
  <si>
    <t>I. S. N.</t>
  </si>
  <si>
    <t>Subsidio al Empleo</t>
  </si>
  <si>
    <t>Dias de Aguin</t>
  </si>
  <si>
    <t>Prestaciones de ley</t>
  </si>
  <si>
    <t>Total</t>
  </si>
  <si>
    <t>Área Geográfica.</t>
  </si>
  <si>
    <t>Salario mínimo de la zona</t>
  </si>
  <si>
    <t>Guarderías</t>
  </si>
  <si>
    <t>Dias de Prima V</t>
  </si>
  <si>
    <t>Proporcional</t>
  </si>
  <si>
    <t>Porc. × Excedente</t>
  </si>
  <si>
    <t>En adelante</t>
  </si>
  <si>
    <t>Redondeo</t>
  </si>
  <si>
    <t>Provisión Aguinaldo</t>
  </si>
  <si>
    <t>Prov. Prima Vacacional</t>
  </si>
  <si>
    <t>I.S.R.</t>
  </si>
  <si>
    <t>Porc. IMSS</t>
  </si>
  <si>
    <t>Porc. Ces. Y V.</t>
  </si>
  <si>
    <t>Total Deducciones</t>
  </si>
  <si>
    <t>costo diario</t>
  </si>
  <si>
    <t>Diario</t>
  </si>
  <si>
    <t>Límite inferior</t>
  </si>
  <si>
    <t>Límite superior</t>
  </si>
  <si>
    <t>% sobre excedente</t>
  </si>
  <si>
    <t>Imp. Del Periodo</t>
  </si>
  <si>
    <t>I.S.R. s/salario mensual</t>
  </si>
  <si>
    <t>Base Mensual</t>
  </si>
  <si>
    <t>VIGENCIA ENE-DIC/2014. DOF 11/12/2013</t>
  </si>
  <si>
    <t>Descripción: Tarifa ISPT MENSUAL Art 96/ /  LISR.  VIGENCIA ENE-DIC/2014. DOF 04/01/2014</t>
  </si>
  <si>
    <t>Provisión</t>
  </si>
  <si>
    <t>Provisional</t>
  </si>
  <si>
    <t>costo del periodo</t>
  </si>
  <si>
    <t>Tarifa:      tarifa mensual ispt 2014</t>
  </si>
  <si>
    <t>Pago Bim Total</t>
  </si>
  <si>
    <t>Pago IMSS Mensual Total</t>
  </si>
  <si>
    <t>Patron</t>
  </si>
  <si>
    <t>Cuota Mensual</t>
  </si>
  <si>
    <t>&lt;--Nominal</t>
  </si>
  <si>
    <t>&lt;--Neto</t>
  </si>
  <si>
    <t>DECIMO NOVENO</t>
  </si>
  <si>
    <t>TRANSITORIOS</t>
  </si>
  <si>
    <t>Neto Semanal</t>
  </si>
  <si>
    <t>RCV-INFONAVIT</t>
  </si>
  <si>
    <t>SBD</t>
  </si>
  <si>
    <t>Con RT de 0.54355%</t>
  </si>
  <si>
    <t>Subs. Al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</si>
</sst>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%"/>
    <numFmt numFmtId="166" formatCode="0.0000%"/>
    <numFmt numFmtId="167" formatCode="0.00000%"/>
    <numFmt numFmtId="168" formatCode="&quot;$&quot;#,##0.00"/>
    <numFmt numFmtId="169" formatCode="&quot;SDI Tope &quot;00&quot; VSMDF&quot;"/>
    <numFmt numFmtId="170" formatCode="&quot;Año de Ejercicio &quot;####"/>
    <numFmt numFmtId="171" formatCode=";;;"/>
    <numFmt numFmtId="172" formatCode="#,##0.00_ ;[Red]\-#,##0.00\ "/>
    <numFmt numFmtId="173" formatCode="##\ &quot;AÑOS CUMPLIDOS&quot;"/>
    <numFmt numFmtId="174" formatCode="#,##0.000"/>
    <numFmt numFmtId="175" formatCode="_-&quot;$&quot;* #,##0.00_-;[Red]\-&quot;$&quot;* #,##0.00_-;_-&quot;$&quot;* &quot;-&quot;??_-;_-@_-"/>
  </numFmts>
  <fonts count="31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sz val="14"/>
      <color indexed="9"/>
      <name val="Verdana"/>
      <family val="2"/>
    </font>
    <font>
      <sz val="10"/>
      <name val="Lucida Sans Unicode"/>
      <family val="2"/>
    </font>
    <font>
      <sz val="10"/>
      <color indexed="9"/>
      <name val="Verdana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Lucida Sans Unicode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10"/>
      <name val="Lucida Sans Unicode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1"/>
      <color rgb="FFF2F4A6"/>
      <name val="Calibri"/>
      <family val="2"/>
      <scheme val="minor"/>
    </font>
    <font>
      <b/>
      <sz val="11"/>
      <color rgb="FF009999"/>
      <name val="Calibri"/>
      <family val="2"/>
      <scheme val="minor"/>
    </font>
    <font>
      <b/>
      <sz val="8"/>
      <color theme="9" tint="-0.249977111117893"/>
      <name val="Euphemia"/>
      <family val="2"/>
    </font>
    <font>
      <sz val="8"/>
      <name val="Euphemia"/>
      <family val="2"/>
    </font>
    <font>
      <b/>
      <sz val="8"/>
      <name val="Euphemia"/>
      <family val="2"/>
    </font>
    <font>
      <b/>
      <sz val="8"/>
      <color theme="1"/>
      <name val="Euphemia"/>
      <family val="2"/>
    </font>
    <font>
      <sz val="8"/>
      <color theme="1"/>
      <name val="Euphemia"/>
      <family val="2"/>
    </font>
  </fonts>
  <fills count="1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mediumGray">
        <fgColor indexed="9"/>
        <b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auto="1"/>
        <bgColor auto="1"/>
      </patternFill>
    </fill>
    <fill>
      <patternFill patternType="solid">
        <fgColor rgb="FF009999"/>
        <bgColor indexed="64"/>
      </patternFill>
    </fill>
    <fill>
      <patternFill patternType="solid">
        <fgColor rgb="FFF6EE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auto="1"/>
      </patternFill>
    </fill>
  </fills>
  <borders count="53">
    <border>
      <left/>
      <right/>
      <top/>
      <bottom/>
      <diagonal/>
    </border>
    <border>
      <left style="medium">
        <color indexed="23"/>
      </left>
      <right style="medium">
        <color indexed="9"/>
      </right>
      <top style="medium">
        <color indexed="23"/>
      </top>
      <bottom/>
      <diagonal/>
    </border>
    <border>
      <left style="medium">
        <color indexed="9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9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23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23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9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3"/>
      </right>
      <top style="medium">
        <color indexed="9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/>
      <bottom/>
      <diagonal/>
    </border>
    <border>
      <left style="medium">
        <color indexed="22"/>
      </left>
      <right style="medium">
        <color indexed="9"/>
      </right>
      <top/>
      <bottom/>
      <diagonal/>
    </border>
    <border>
      <left style="medium">
        <color indexed="22"/>
      </left>
      <right style="medium">
        <color indexed="9"/>
      </right>
      <top style="medium">
        <color indexed="9"/>
      </top>
      <bottom style="medium">
        <color indexed="22"/>
      </bottom>
      <diagonal/>
    </border>
    <border>
      <left/>
      <right style="medium">
        <color indexed="9"/>
      </right>
      <top style="medium">
        <color indexed="9"/>
      </top>
      <bottom style="medium">
        <color indexed="22"/>
      </bottom>
      <diagonal/>
    </border>
    <border>
      <left style="medium">
        <color indexed="9"/>
      </left>
      <right style="medium">
        <color indexed="22"/>
      </right>
      <top style="medium">
        <color indexed="9"/>
      </top>
      <bottom style="medium">
        <color indexed="22"/>
      </bottom>
      <diagonal/>
    </border>
    <border>
      <left style="medium">
        <color indexed="22"/>
      </left>
      <right style="hair">
        <color indexed="22"/>
      </right>
      <top/>
      <bottom style="medium">
        <color indexed="22"/>
      </bottom>
      <diagonal/>
    </border>
    <border>
      <left style="hair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3"/>
      </left>
      <right/>
      <top style="medium">
        <color indexed="22"/>
      </top>
      <bottom style="medium">
        <color indexed="23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3"/>
      </bottom>
      <diagonal/>
    </border>
    <border>
      <left/>
      <right/>
      <top style="medium">
        <color indexed="22"/>
      </top>
      <bottom style="medium">
        <color indexed="23"/>
      </bottom>
      <diagonal/>
    </border>
    <border>
      <left style="medium">
        <color indexed="22"/>
      </left>
      <right/>
      <top style="medium">
        <color indexed="22"/>
      </top>
      <bottom style="medium">
        <color indexed="23"/>
      </bottom>
      <diagonal/>
    </border>
    <border>
      <left/>
      <right style="medium">
        <color indexed="23"/>
      </right>
      <top style="medium">
        <color indexed="22"/>
      </top>
      <bottom style="medium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medium">
        <color indexed="23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18" fillId="6" borderId="0" applyNumberFormat="0" applyBorder="0" applyAlignment="0" applyProtection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6" fillId="0" borderId="0"/>
    <xf numFmtId="0" fontId="9" fillId="0" borderId="0">
      <protection hidden="1"/>
    </xf>
    <xf numFmtId="0" fontId="17" fillId="0" borderId="0"/>
    <xf numFmtId="9" fontId="3" fillId="0" borderId="0" applyFont="0" applyFill="0" applyBorder="0" applyAlignment="0" applyProtection="0"/>
    <xf numFmtId="0" fontId="2" fillId="7" borderId="0" applyNumberFormat="0" applyBorder="0" applyAlignment="0" applyProtection="0"/>
    <xf numFmtId="0" fontId="20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4" fontId="22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4" fontId="0" fillId="0" borderId="0" xfId="0" applyNumberFormat="1" applyAlignment="1" applyProtection="1">
      <alignment horizontal="right"/>
      <protection locked="0"/>
    </xf>
    <xf numFmtId="0" fontId="5" fillId="2" borderId="0" xfId="7" applyFont="1" applyFill="1" applyAlignment="1" applyProtection="1">
      <alignment horizontal="centerContinuous" vertical="top"/>
      <protection hidden="1"/>
    </xf>
    <xf numFmtId="0" fontId="7" fillId="2" borderId="0" xfId="7" applyFont="1" applyFill="1" applyAlignment="1" applyProtection="1">
      <alignment horizontal="centerContinuous" vertical="center"/>
      <protection hidden="1"/>
    </xf>
    <xf numFmtId="0" fontId="8" fillId="3" borderId="1" xfId="7" applyFont="1" applyFill="1" applyBorder="1" applyAlignment="1" applyProtection="1">
      <alignment horizontal="center" wrapText="1"/>
      <protection hidden="1"/>
    </xf>
    <xf numFmtId="0" fontId="8" fillId="3" borderId="2" xfId="7" applyFont="1" applyFill="1" applyBorder="1" applyAlignment="1" applyProtection="1">
      <alignment horizontal="centerContinuous" vertical="top"/>
      <protection hidden="1"/>
    </xf>
    <xf numFmtId="0" fontId="8" fillId="3" borderId="3" xfId="7" applyFont="1" applyFill="1" applyBorder="1" applyAlignment="1" applyProtection="1">
      <alignment horizontal="centerContinuous" vertical="top"/>
      <protection hidden="1"/>
    </xf>
    <xf numFmtId="0" fontId="8" fillId="3" borderId="4" xfId="7" applyFont="1" applyFill="1" applyBorder="1" applyAlignment="1" applyProtection="1">
      <alignment horizontal="centerContinuous" vertical="top"/>
      <protection hidden="1"/>
    </xf>
    <xf numFmtId="0" fontId="8" fillId="3" borderId="2" xfId="7" applyFont="1" applyFill="1" applyBorder="1" applyAlignment="1" applyProtection="1">
      <alignment horizontal="centerContinuous" wrapText="1"/>
      <protection hidden="1"/>
    </xf>
    <xf numFmtId="0" fontId="8" fillId="3" borderId="3" xfId="7" applyFont="1" applyFill="1" applyBorder="1" applyAlignment="1" applyProtection="1">
      <alignment horizontal="centerContinuous" wrapText="1"/>
      <protection hidden="1"/>
    </xf>
    <xf numFmtId="0" fontId="8" fillId="3" borderId="4" xfId="7" applyFont="1" applyFill="1" applyBorder="1" applyAlignment="1" applyProtection="1">
      <alignment horizontal="centerContinuous" wrapText="1"/>
      <protection hidden="1"/>
    </xf>
    <xf numFmtId="0" fontId="8" fillId="3" borderId="4" xfId="7" applyFont="1" applyFill="1" applyBorder="1" applyAlignment="1" applyProtection="1">
      <alignment horizontal="center" wrapText="1"/>
      <protection hidden="1"/>
    </xf>
    <xf numFmtId="0" fontId="8" fillId="3" borderId="3" xfId="7" applyFont="1" applyFill="1" applyBorder="1" applyAlignment="1" applyProtection="1">
      <alignment horizontal="center" wrapText="1"/>
      <protection hidden="1"/>
    </xf>
    <xf numFmtId="0" fontId="8" fillId="3" borderId="2" xfId="7" applyFont="1" applyFill="1" applyBorder="1" applyAlignment="1" applyProtection="1">
      <alignment horizontal="centerContinuous" vertical="center" wrapText="1"/>
      <protection hidden="1"/>
    </xf>
    <xf numFmtId="0" fontId="8" fillId="3" borderId="3" xfId="7" applyFont="1" applyFill="1" applyBorder="1" applyAlignment="1" applyProtection="1">
      <alignment horizontal="centerContinuous" vertical="center" wrapText="1"/>
      <protection hidden="1"/>
    </xf>
    <xf numFmtId="0" fontId="8" fillId="3" borderId="5" xfId="7" applyFont="1" applyFill="1" applyBorder="1" applyAlignment="1" applyProtection="1">
      <alignment horizontal="centerContinuous" vertical="center" wrapText="1"/>
      <protection hidden="1"/>
    </xf>
    <xf numFmtId="0" fontId="8" fillId="3" borderId="6" xfId="7" applyFont="1" applyFill="1" applyBorder="1" applyAlignment="1" applyProtection="1">
      <alignment horizontal="center" vertical="center" wrapText="1"/>
      <protection hidden="1"/>
    </xf>
    <xf numFmtId="0" fontId="8" fillId="3" borderId="7" xfId="7" applyFont="1" applyFill="1" applyBorder="1" applyAlignment="1" applyProtection="1">
      <alignment horizontal="center" vertical="center" wrapText="1"/>
      <protection hidden="1"/>
    </xf>
    <xf numFmtId="0" fontId="8" fillId="3" borderId="8" xfId="7" applyFont="1" applyFill="1" applyBorder="1" applyAlignment="1" applyProtection="1">
      <alignment horizontal="center" vertical="center" wrapText="1"/>
      <protection hidden="1"/>
    </xf>
    <xf numFmtId="0" fontId="8" fillId="3" borderId="9" xfId="7" applyFont="1" applyFill="1" applyBorder="1" applyAlignment="1" applyProtection="1">
      <alignment horizontal="center" vertical="center" wrapText="1"/>
      <protection hidden="1"/>
    </xf>
    <xf numFmtId="0" fontId="6" fillId="3" borderId="10" xfId="7" applyFill="1" applyBorder="1" applyAlignment="1" applyProtection="1">
      <alignment horizontal="center" wrapText="1"/>
      <protection hidden="1"/>
    </xf>
    <xf numFmtId="0" fontId="8" fillId="3" borderId="11" xfId="7" applyFont="1" applyFill="1" applyBorder="1" applyAlignment="1" applyProtection="1">
      <alignment horizontal="center" wrapText="1"/>
      <protection hidden="1"/>
    </xf>
    <xf numFmtId="0" fontId="8" fillId="3" borderId="12" xfId="7" applyFont="1" applyFill="1" applyBorder="1" applyAlignment="1" applyProtection="1">
      <alignment horizontal="center" wrapText="1"/>
      <protection hidden="1"/>
    </xf>
    <xf numFmtId="0" fontId="8" fillId="3" borderId="13" xfId="7" applyFont="1" applyFill="1" applyBorder="1" applyAlignment="1" applyProtection="1">
      <alignment horizontal="center" wrapText="1"/>
      <protection hidden="1"/>
    </xf>
    <xf numFmtId="49" fontId="8" fillId="0" borderId="14" xfId="7" quotePrefix="1" applyNumberFormat="1" applyFont="1" applyBorder="1" applyAlignment="1" applyProtection="1">
      <alignment horizontal="center" wrapText="1"/>
      <protection hidden="1"/>
    </xf>
    <xf numFmtId="4" fontId="8" fillId="0" borderId="15" xfId="7" applyNumberFormat="1" applyFont="1" applyBorder="1" applyAlignment="1" applyProtection="1">
      <alignment horizontal="center" wrapText="1"/>
      <protection hidden="1"/>
    </xf>
    <xf numFmtId="0" fontId="8" fillId="0" borderId="15" xfId="7" applyFont="1" applyBorder="1" applyAlignment="1" applyProtection="1">
      <alignment horizontal="center" wrapText="1"/>
      <protection hidden="1"/>
    </xf>
    <xf numFmtId="0" fontId="8" fillId="0" borderId="16" xfId="7" applyFont="1" applyBorder="1" applyAlignment="1" applyProtection="1">
      <alignment horizontal="center" wrapText="1"/>
      <protection hidden="1"/>
    </xf>
    <xf numFmtId="0" fontId="8" fillId="0" borderId="17" xfId="7" applyFont="1" applyBorder="1" applyAlignment="1" applyProtection="1">
      <alignment horizontal="center" wrapText="1"/>
      <protection hidden="1"/>
    </xf>
    <xf numFmtId="0" fontId="8" fillId="0" borderId="14" xfId="7" applyNumberFormat="1" applyFont="1" applyBorder="1" applyAlignment="1" applyProtection="1">
      <alignment horizontal="center" wrapText="1"/>
      <protection hidden="1"/>
    </xf>
    <xf numFmtId="4" fontId="8" fillId="0" borderId="16" xfId="7" applyNumberFormat="1" applyFont="1" applyBorder="1" applyAlignment="1" applyProtection="1">
      <alignment horizontal="center" wrapText="1"/>
      <protection hidden="1"/>
    </xf>
    <xf numFmtId="169" fontId="8" fillId="0" borderId="18" xfId="2" applyNumberFormat="1" applyFont="1" applyBorder="1" applyAlignment="1" applyProtection="1">
      <alignment vertical="center"/>
      <protection hidden="1"/>
    </xf>
    <xf numFmtId="166" fontId="11" fillId="0" borderId="19" xfId="10" applyNumberFormat="1" applyFont="1" applyBorder="1" applyProtection="1">
      <protection hidden="1"/>
    </xf>
    <xf numFmtId="0" fontId="11" fillId="0" borderId="0" xfId="8" applyFont="1" applyProtection="1">
      <protection hidden="1"/>
    </xf>
    <xf numFmtId="169" fontId="8" fillId="0" borderId="18" xfId="2" applyNumberFormat="1" applyFont="1" applyBorder="1" applyProtection="1">
      <protection hidden="1"/>
    </xf>
    <xf numFmtId="0" fontId="12" fillId="0" borderId="19" xfId="8" applyFont="1" applyBorder="1" applyAlignment="1" applyProtection="1">
      <alignment horizontal="center"/>
      <protection hidden="1"/>
    </xf>
    <xf numFmtId="0" fontId="12" fillId="0" borderId="0" xfId="8" applyFont="1" applyBorder="1" applyAlignment="1" applyProtection="1">
      <alignment horizontal="center"/>
      <protection hidden="1"/>
    </xf>
    <xf numFmtId="0" fontId="13" fillId="3" borderId="18" xfId="8" applyFont="1" applyFill="1" applyBorder="1" applyAlignment="1" applyProtection="1">
      <alignment horizontal="center"/>
      <protection locked="0" hidden="1"/>
    </xf>
    <xf numFmtId="0" fontId="13" fillId="0" borderId="21" xfId="8" applyFont="1" applyFill="1" applyBorder="1" applyAlignment="1" applyProtection="1">
      <alignment horizontal="center"/>
      <protection locked="0" hidden="1"/>
    </xf>
    <xf numFmtId="0" fontId="8" fillId="3" borderId="22" xfId="7" applyFont="1" applyFill="1" applyBorder="1" applyAlignment="1" applyProtection="1">
      <alignment horizontal="center" vertical="center" wrapText="1"/>
      <protection hidden="1"/>
    </xf>
    <xf numFmtId="0" fontId="13" fillId="0" borderId="20" xfId="8" applyFont="1" applyBorder="1" applyAlignment="1" applyProtection="1">
      <alignment horizontal="center" vertical="center"/>
      <protection hidden="1"/>
    </xf>
    <xf numFmtId="0" fontId="13" fillId="0" borderId="18" xfId="8" applyFont="1" applyBorder="1" applyAlignment="1" applyProtection="1">
      <alignment horizontal="center" vertical="center"/>
      <protection hidden="1"/>
    </xf>
    <xf numFmtId="0" fontId="11" fillId="0" borderId="0" xfId="8" applyFont="1" applyBorder="1" applyProtection="1">
      <protection hidden="1"/>
    </xf>
    <xf numFmtId="0" fontId="8" fillId="3" borderId="22" xfId="7" applyFont="1" applyFill="1" applyBorder="1" applyAlignment="1" applyProtection="1">
      <alignment horizontal="center" vertical="top" wrapText="1"/>
      <protection hidden="1"/>
    </xf>
    <xf numFmtId="0" fontId="8" fillId="3" borderId="9" xfId="7" applyFont="1" applyFill="1" applyBorder="1" applyAlignment="1" applyProtection="1">
      <alignment horizontal="center" vertical="top" wrapText="1"/>
      <protection hidden="1"/>
    </xf>
    <xf numFmtId="0" fontId="8" fillId="0" borderId="18" xfId="8" applyFont="1" applyBorder="1" applyProtection="1">
      <protection hidden="1"/>
    </xf>
    <xf numFmtId="165" fontId="8" fillId="0" borderId="18" xfId="2" applyNumberFormat="1" applyFont="1" applyBorder="1" applyProtection="1">
      <protection hidden="1"/>
    </xf>
    <xf numFmtId="0" fontId="8" fillId="4" borderId="18" xfId="8" applyFont="1" applyFill="1" applyBorder="1" applyProtection="1">
      <protection hidden="1"/>
    </xf>
    <xf numFmtId="166" fontId="11" fillId="0" borderId="18" xfId="10" applyNumberFormat="1" applyFont="1" applyBorder="1" applyProtection="1">
      <protection hidden="1"/>
    </xf>
    <xf numFmtId="0" fontId="8" fillId="3" borderId="23" xfId="7" applyFont="1" applyFill="1" applyBorder="1" applyAlignment="1" applyProtection="1">
      <alignment horizontal="center" wrapText="1"/>
      <protection hidden="1"/>
    </xf>
    <xf numFmtId="0" fontId="8" fillId="3" borderId="24" xfId="7" applyFont="1" applyFill="1" applyBorder="1" applyAlignment="1" applyProtection="1">
      <alignment horizontal="center" wrapText="1"/>
      <protection hidden="1"/>
    </xf>
    <xf numFmtId="0" fontId="8" fillId="3" borderId="25" xfId="7" applyFont="1" applyFill="1" applyBorder="1" applyAlignment="1" applyProtection="1">
      <alignment horizontal="center" wrapText="1"/>
      <protection hidden="1"/>
    </xf>
    <xf numFmtId="0" fontId="13" fillId="0" borderId="26" xfId="7" applyFont="1" applyBorder="1" applyAlignment="1" applyProtection="1">
      <alignment horizontal="center" wrapText="1"/>
      <protection hidden="1"/>
    </xf>
    <xf numFmtId="0" fontId="8" fillId="5" borderId="27" xfId="7" applyFont="1" applyFill="1" applyBorder="1" applyAlignment="1" applyProtection="1">
      <alignment horizontal="center" wrapText="1"/>
      <protection locked="0" hidden="1"/>
    </xf>
    <xf numFmtId="4" fontId="8" fillId="0" borderId="26" xfId="7" applyNumberFormat="1" applyFont="1" applyFill="1" applyBorder="1" applyAlignment="1" applyProtection="1">
      <alignment horizontal="center" wrapText="1"/>
      <protection locked="0" hidden="1"/>
    </xf>
    <xf numFmtId="0" fontId="8" fillId="0" borderId="18" xfId="8" applyFont="1" applyBorder="1" applyAlignment="1" applyProtection="1">
      <alignment horizontal="center"/>
      <protection hidden="1"/>
    </xf>
    <xf numFmtId="0" fontId="8" fillId="0" borderId="28" xfId="7" applyFont="1" applyBorder="1" applyAlignment="1" applyProtection="1">
      <alignment wrapText="1"/>
      <protection hidden="1"/>
    </xf>
    <xf numFmtId="0" fontId="8" fillId="0" borderId="29" xfId="7" applyFont="1" applyBorder="1" applyAlignment="1" applyProtection="1">
      <alignment horizontal="center" wrapText="1"/>
      <protection hidden="1"/>
    </xf>
    <xf numFmtId="0" fontId="6" fillId="0" borderId="30" xfId="7" applyFont="1" applyBorder="1" applyAlignment="1" applyProtection="1">
      <alignment horizontal="centerContinuous" wrapText="1"/>
      <protection hidden="1"/>
    </xf>
    <xf numFmtId="0" fontId="8" fillId="0" borderId="30" xfId="7" applyFont="1" applyBorder="1" applyAlignment="1" applyProtection="1">
      <alignment horizontal="centerContinuous" wrapText="1"/>
      <protection hidden="1"/>
    </xf>
    <xf numFmtId="0" fontId="6" fillId="0" borderId="31" xfId="7" applyFont="1" applyBorder="1" applyAlignment="1" applyProtection="1">
      <alignment horizontal="centerContinuous" wrapText="1"/>
      <protection hidden="1"/>
    </xf>
    <xf numFmtId="0" fontId="8" fillId="0" borderId="31" xfId="7" applyFont="1" applyBorder="1" applyAlignment="1" applyProtection="1">
      <alignment horizontal="centerContinuous" wrapText="1"/>
      <protection hidden="1"/>
    </xf>
    <xf numFmtId="0" fontId="8" fillId="0" borderId="31" xfId="7" applyFont="1" applyBorder="1" applyAlignment="1" applyProtection="1">
      <alignment horizontal="center" wrapText="1"/>
      <protection hidden="1"/>
    </xf>
    <xf numFmtId="0" fontId="8" fillId="0" borderId="31" xfId="7" applyFont="1" applyBorder="1" applyAlignment="1" applyProtection="1">
      <alignment horizontal="centerContinuous" shrinkToFit="1"/>
      <protection hidden="1"/>
    </xf>
    <xf numFmtId="0" fontId="8" fillId="0" borderId="32" xfId="7" applyFont="1" applyBorder="1" applyAlignment="1" applyProtection="1">
      <alignment horizontal="centerContinuous" shrinkToFit="1"/>
      <protection hidden="1"/>
    </xf>
    <xf numFmtId="1" fontId="11" fillId="0" borderId="0" xfId="8" applyNumberFormat="1" applyFont="1" applyBorder="1" applyAlignment="1" applyProtection="1">
      <alignment horizontal="center"/>
      <protection hidden="1"/>
    </xf>
    <xf numFmtId="0" fontId="8" fillId="0" borderId="0" xfId="8" applyFont="1" applyProtection="1">
      <protection hidden="1"/>
    </xf>
    <xf numFmtId="1" fontId="11" fillId="0" borderId="33" xfId="8" applyNumberFormat="1" applyFont="1" applyBorder="1" applyAlignment="1" applyProtection="1">
      <alignment horizontal="center"/>
      <protection hidden="1"/>
    </xf>
    <xf numFmtId="0" fontId="16" fillId="0" borderId="0" xfId="9" applyFont="1" applyAlignment="1">
      <alignment horizontal="centerContinuous"/>
    </xf>
    <xf numFmtId="0" fontId="17" fillId="0" borderId="0" xfId="9"/>
    <xf numFmtId="0" fontId="15" fillId="0" borderId="0" xfId="9" applyFont="1" applyAlignment="1">
      <alignment horizontal="center" vertical="center"/>
    </xf>
    <xf numFmtId="0" fontId="15" fillId="0" borderId="0" xfId="9" applyFont="1" applyAlignment="1">
      <alignment horizontal="centerContinuous" vertical="center"/>
    </xf>
    <xf numFmtId="0" fontId="16" fillId="0" borderId="0" xfId="9" applyFont="1" applyAlignment="1">
      <alignment horizontal="centerContinuous" vertical="center"/>
    </xf>
    <xf numFmtId="0" fontId="17" fillId="0" borderId="0" xfId="9" applyAlignment="1">
      <alignment horizontal="centerContinuous" vertical="center"/>
    </xf>
    <xf numFmtId="0" fontId="17" fillId="0" borderId="0" xfId="9" applyAlignment="1">
      <alignment vertical="center"/>
    </xf>
    <xf numFmtId="43" fontId="17" fillId="0" borderId="0" xfId="9" applyNumberFormat="1"/>
    <xf numFmtId="43" fontId="17" fillId="0" borderId="0" xfId="6" applyFont="1"/>
    <xf numFmtId="9" fontId="17" fillId="0" borderId="0" xfId="10" applyFont="1"/>
    <xf numFmtId="0" fontId="8" fillId="0" borderId="50" xfId="7" applyNumberFormat="1" applyFont="1" applyBorder="1" applyAlignment="1" applyProtection="1">
      <alignment horizontal="center" wrapText="1"/>
      <protection hidden="1"/>
    </xf>
    <xf numFmtId="0" fontId="13" fillId="0" borderId="0" xfId="7" applyFont="1" applyFill="1" applyBorder="1" applyAlignment="1" applyProtection="1">
      <alignment horizontal="center" wrapText="1"/>
      <protection hidden="1"/>
    </xf>
    <xf numFmtId="0" fontId="8" fillId="0" borderId="0" xfId="7" applyFont="1" applyFill="1" applyBorder="1" applyAlignment="1" applyProtection="1">
      <alignment horizontal="center" wrapText="1"/>
      <protection locked="0" hidden="1"/>
    </xf>
    <xf numFmtId="4" fontId="8" fillId="0" borderId="51" xfId="7" applyNumberFormat="1" applyFont="1" applyFill="1" applyBorder="1" applyAlignment="1" applyProtection="1">
      <alignment horizontal="center" wrapText="1"/>
      <protection locked="0" hidden="1"/>
    </xf>
    <xf numFmtId="4" fontId="8" fillId="0" borderId="16" xfId="7" applyNumberFormat="1" applyFont="1" applyFill="1" applyBorder="1" applyAlignment="1" applyProtection="1">
      <alignment horizontal="center" wrapText="1"/>
      <protection locked="0" hidden="1"/>
    </xf>
    <xf numFmtId="0" fontId="19" fillId="0" borderId="34" xfId="3" applyNumberFormat="1" applyBorder="1" applyAlignment="1" applyProtection="1">
      <alignment horizontal="center"/>
      <protection locked="0"/>
    </xf>
    <xf numFmtId="0" fontId="19" fillId="0" borderId="33" xfId="3" applyNumberFormat="1" applyBorder="1" applyAlignment="1" applyProtection="1">
      <alignment horizontal="center"/>
      <protection locked="0"/>
    </xf>
    <xf numFmtId="0" fontId="19" fillId="0" borderId="35" xfId="3" applyNumberFormat="1" applyBorder="1" applyAlignment="1" applyProtection="1">
      <alignment horizontal="center"/>
      <protection locked="0"/>
    </xf>
    <xf numFmtId="164" fontId="8" fillId="0" borderId="0" xfId="8" applyNumberFormat="1" applyFont="1" applyProtection="1">
      <protection hidden="1"/>
    </xf>
    <xf numFmtId="174" fontId="8" fillId="0" borderId="16" xfId="7" applyNumberFormat="1" applyFont="1" applyBorder="1" applyAlignment="1" applyProtection="1">
      <alignment horizontal="center" wrapText="1"/>
      <protection hidden="1"/>
    </xf>
    <xf numFmtId="0" fontId="19" fillId="0" borderId="19" xfId="3" applyNumberFormat="1" applyBorder="1" applyAlignment="1" applyProtection="1">
      <alignment horizontal="center"/>
      <protection locked="0"/>
    </xf>
    <xf numFmtId="0" fontId="19" fillId="0" borderId="0" xfId="3" applyNumberFormat="1" applyBorder="1" applyAlignment="1" applyProtection="1">
      <alignment horizontal="center"/>
      <protection locked="0"/>
    </xf>
    <xf numFmtId="0" fontId="19" fillId="0" borderId="36" xfId="3" applyNumberFormat="1" applyBorder="1" applyAlignment="1" applyProtection="1">
      <alignment horizontal="center"/>
      <protection locked="0"/>
    </xf>
    <xf numFmtId="43" fontId="0" fillId="0" borderId="34" xfId="6" applyFont="1" applyBorder="1" applyAlignment="1" applyProtection="1">
      <alignment horizontal="right"/>
      <protection locked="0"/>
    </xf>
    <xf numFmtId="43" fontId="0" fillId="0" borderId="33" xfId="6" applyFont="1" applyBorder="1" applyAlignment="1" applyProtection="1">
      <alignment horizontal="right"/>
      <protection locked="0"/>
    </xf>
    <xf numFmtId="43" fontId="0" fillId="0" borderId="35" xfId="6" applyFont="1" applyBorder="1" applyAlignment="1" applyProtection="1">
      <alignment horizontal="right"/>
      <protection locked="0"/>
    </xf>
    <xf numFmtId="43" fontId="0" fillId="0" borderId="19" xfId="6" applyFont="1" applyBorder="1" applyAlignment="1" applyProtection="1">
      <alignment horizontal="right"/>
      <protection locked="0"/>
    </xf>
    <xf numFmtId="43" fontId="0" fillId="0" borderId="0" xfId="6" applyFont="1" applyBorder="1" applyAlignment="1" applyProtection="1">
      <alignment horizontal="right"/>
      <protection locked="0"/>
    </xf>
    <xf numFmtId="43" fontId="0" fillId="0" borderId="36" xfId="6" applyFont="1" applyBorder="1" applyAlignment="1" applyProtection="1">
      <alignment horizontal="right"/>
      <protection locked="0"/>
    </xf>
    <xf numFmtId="43" fontId="0" fillId="0" borderId="37" xfId="6" applyFont="1" applyBorder="1"/>
    <xf numFmtId="43" fontId="0" fillId="0" borderId="38" xfId="6" applyFont="1" applyBorder="1"/>
    <xf numFmtId="43" fontId="0" fillId="0" borderId="39" xfId="6" applyFont="1" applyBorder="1"/>
    <xf numFmtId="0" fontId="3" fillId="0" borderId="0" xfId="0" applyNumberFormat="1" applyFont="1" applyAlignment="1" applyProtection="1">
      <alignment horizontal="left"/>
      <protection locked="0"/>
    </xf>
    <xf numFmtId="43" fontId="23" fillId="0" borderId="19" xfId="6" applyFont="1" applyBorder="1" applyAlignment="1" applyProtection="1">
      <alignment horizontal="right"/>
      <protection locked="0"/>
    </xf>
    <xf numFmtId="43" fontId="23" fillId="0" borderId="0" xfId="6" applyFont="1" applyBorder="1" applyAlignment="1" applyProtection="1">
      <alignment horizontal="right"/>
      <protection locked="0"/>
    </xf>
    <xf numFmtId="43" fontId="23" fillId="0" borderId="36" xfId="6" applyFont="1" applyBorder="1" applyAlignment="1" applyProtection="1">
      <alignment horizontal="right"/>
      <protection locked="0"/>
    </xf>
    <xf numFmtId="43" fontId="24" fillId="13" borderId="34" xfId="6" applyFont="1" applyFill="1" applyBorder="1" applyAlignment="1" applyProtection="1">
      <alignment horizontal="right"/>
      <protection locked="0"/>
    </xf>
    <xf numFmtId="43" fontId="24" fillId="13" borderId="33" xfId="6" applyFont="1" applyFill="1" applyBorder="1" applyAlignment="1" applyProtection="1">
      <alignment horizontal="right"/>
      <protection locked="0"/>
    </xf>
    <xf numFmtId="43" fontId="24" fillId="13" borderId="35" xfId="6" applyFont="1" applyFill="1" applyBorder="1" applyAlignment="1" applyProtection="1">
      <alignment horizontal="right"/>
      <protection locked="0"/>
    </xf>
    <xf numFmtId="43" fontId="24" fillId="13" borderId="19" xfId="6" applyFont="1" applyFill="1" applyBorder="1" applyAlignment="1" applyProtection="1">
      <alignment horizontal="right"/>
      <protection locked="0"/>
    </xf>
    <xf numFmtId="43" fontId="24" fillId="13" borderId="0" xfId="6" applyFont="1" applyFill="1" applyBorder="1" applyAlignment="1" applyProtection="1">
      <alignment horizontal="right"/>
      <protection locked="0"/>
    </xf>
    <xf numFmtId="43" fontId="24" fillId="13" borderId="36" xfId="6" applyFont="1" applyFill="1" applyBorder="1" applyAlignment="1" applyProtection="1">
      <alignment horizontal="right"/>
      <protection locked="0"/>
    </xf>
    <xf numFmtId="43" fontId="24" fillId="13" borderId="37" xfId="6" applyFont="1" applyFill="1" applyBorder="1" applyAlignment="1" applyProtection="1">
      <alignment horizontal="right"/>
      <protection locked="0"/>
    </xf>
    <xf numFmtId="43" fontId="24" fillId="13" borderId="38" xfId="6" applyFont="1" applyFill="1" applyBorder="1" applyAlignment="1" applyProtection="1">
      <alignment horizontal="right"/>
      <protection locked="0"/>
    </xf>
    <xf numFmtId="43" fontId="24" fillId="13" borderId="39" xfId="6" applyFont="1" applyFill="1" applyBorder="1" applyAlignment="1" applyProtection="1">
      <alignment horizontal="right"/>
      <protection locked="0"/>
    </xf>
    <xf numFmtId="0" fontId="25" fillId="14" borderId="34" xfId="3" applyNumberFormat="1" applyFont="1" applyFill="1" applyBorder="1" applyAlignment="1" applyProtection="1">
      <alignment horizontal="center"/>
      <protection locked="0"/>
    </xf>
    <xf numFmtId="0" fontId="25" fillId="14" borderId="33" xfId="3" applyNumberFormat="1" applyFont="1" applyFill="1" applyBorder="1" applyAlignment="1" applyProtection="1">
      <alignment horizontal="center"/>
      <protection locked="0"/>
    </xf>
    <xf numFmtId="0" fontId="25" fillId="14" borderId="35" xfId="3" applyNumberFormat="1" applyFont="1" applyFill="1" applyBorder="1" applyAlignment="1" applyProtection="1">
      <alignment horizontal="center"/>
      <protection locked="0"/>
    </xf>
    <xf numFmtId="0" fontId="25" fillId="14" borderId="19" xfId="3" applyNumberFormat="1" applyFont="1" applyFill="1" applyBorder="1" applyAlignment="1" applyProtection="1">
      <alignment horizontal="center"/>
      <protection locked="0"/>
    </xf>
    <xf numFmtId="0" fontId="25" fillId="14" borderId="0" xfId="3" applyNumberFormat="1" applyFont="1" applyFill="1" applyBorder="1" applyAlignment="1" applyProtection="1">
      <alignment horizontal="center"/>
      <protection locked="0"/>
    </xf>
    <xf numFmtId="0" fontId="25" fillId="14" borderId="36" xfId="3" applyFont="1" applyFill="1" applyBorder="1" applyAlignment="1">
      <alignment horizontal="center"/>
    </xf>
    <xf numFmtId="43" fontId="0" fillId="0" borderId="0" xfId="0" applyNumberFormat="1"/>
    <xf numFmtId="44" fontId="26" fillId="12" borderId="0" xfId="14" applyNumberFormat="1" applyFont="1" applyFill="1" applyBorder="1" applyAlignment="1">
      <alignment vertical="center"/>
    </xf>
    <xf numFmtId="0" fontId="27" fillId="12" borderId="0" xfId="14" applyFont="1" applyFill="1" applyBorder="1" applyAlignment="1">
      <alignment vertical="center"/>
    </xf>
    <xf numFmtId="0" fontId="27" fillId="12" borderId="0" xfId="14" applyFont="1" applyFill="1" applyBorder="1" applyAlignment="1">
      <alignment horizontal="center" vertical="center"/>
    </xf>
    <xf numFmtId="0" fontId="27" fillId="12" borderId="0" xfId="14" applyFont="1" applyFill="1" applyBorder="1" applyAlignment="1">
      <alignment horizontal="centerContinuous" vertical="center"/>
    </xf>
    <xf numFmtId="43" fontId="27" fillId="12" borderId="0" xfId="14" applyNumberFormat="1" applyFont="1" applyFill="1" applyBorder="1" applyAlignment="1">
      <alignment horizontal="centerContinuous" vertical="center"/>
    </xf>
    <xf numFmtId="0" fontId="27" fillId="0" borderId="0" xfId="0" applyFont="1" applyAlignment="1" applyProtection="1">
      <alignment vertical="center"/>
      <protection locked="0"/>
    </xf>
    <xf numFmtId="0" fontId="27" fillId="12" borderId="0" xfId="14" applyFont="1" applyFill="1" applyBorder="1" applyAlignment="1">
      <alignment horizontal="right" vertical="center"/>
    </xf>
    <xf numFmtId="175" fontId="27" fillId="12" borderId="0" xfId="14" applyNumberFormat="1" applyFont="1" applyFill="1" applyBorder="1" applyAlignment="1">
      <alignment vertical="center"/>
    </xf>
    <xf numFmtId="175" fontId="27" fillId="12" borderId="0" xfId="15" applyNumberFormat="1" applyFont="1" applyFill="1" applyBorder="1" applyAlignment="1">
      <alignment vertical="center"/>
    </xf>
    <xf numFmtId="43" fontId="27" fillId="12" borderId="0" xfId="14" applyNumberFormat="1" applyFont="1" applyFill="1" applyBorder="1" applyAlignment="1">
      <alignment vertical="center"/>
    </xf>
    <xf numFmtId="0" fontId="27" fillId="15" borderId="0" xfId="0" applyFont="1" applyFill="1" applyAlignment="1" applyProtection="1">
      <alignment vertical="center"/>
      <protection locked="0"/>
    </xf>
    <xf numFmtId="10" fontId="27" fillId="12" borderId="0" xfId="14" applyNumberFormat="1" applyFont="1" applyFill="1" applyBorder="1" applyAlignment="1">
      <alignment horizontal="center" vertical="center"/>
    </xf>
    <xf numFmtId="175" fontId="27" fillId="12" borderId="0" xfId="14" quotePrefix="1" applyNumberFormat="1" applyFont="1" applyFill="1" applyBorder="1" applyAlignment="1">
      <alignment horizontal="center" vertical="center"/>
    </xf>
    <xf numFmtId="175" fontId="27" fillId="12" borderId="0" xfId="15" quotePrefix="1" applyNumberFormat="1" applyFont="1" applyFill="1" applyBorder="1" applyAlignment="1">
      <alignment horizontal="center" vertical="center"/>
    </xf>
    <xf numFmtId="175" fontId="28" fillId="12" borderId="0" xfId="14" applyNumberFormat="1" applyFont="1" applyFill="1" applyBorder="1" applyAlignment="1">
      <alignment vertical="center"/>
    </xf>
    <xf numFmtId="175" fontId="27" fillId="12" borderId="38" xfId="15" applyNumberFormat="1" applyFont="1" applyFill="1" applyBorder="1" applyAlignment="1">
      <alignment vertical="center"/>
    </xf>
    <xf numFmtId="44" fontId="27" fillId="12" borderId="0" xfId="14" applyNumberFormat="1" applyFont="1" applyFill="1" applyBorder="1" applyAlignment="1">
      <alignment vertical="center"/>
    </xf>
    <xf numFmtId="175" fontId="27" fillId="12" borderId="0" xfId="6" applyNumberFormat="1" applyFont="1" applyFill="1" applyBorder="1" applyAlignment="1">
      <alignment vertical="center"/>
    </xf>
    <xf numFmtId="0" fontId="27" fillId="12" borderId="0" xfId="12" applyFont="1" applyFill="1" applyBorder="1" applyAlignment="1">
      <alignment vertical="center"/>
    </xf>
    <xf numFmtId="0" fontId="27" fillId="12" borderId="0" xfId="12" applyFont="1" applyFill="1" applyBorder="1" applyAlignment="1">
      <alignment horizontal="center" vertical="center"/>
    </xf>
    <xf numFmtId="0" fontId="28" fillId="12" borderId="0" xfId="13" applyFont="1" applyFill="1" applyBorder="1" applyAlignment="1">
      <alignment vertical="center"/>
    </xf>
    <xf numFmtId="175" fontId="28" fillId="12" borderId="0" xfId="13" applyNumberFormat="1" applyFont="1" applyFill="1" applyBorder="1" applyAlignment="1">
      <alignment vertical="center"/>
    </xf>
    <xf numFmtId="0" fontId="27" fillId="12" borderId="0" xfId="12" applyFont="1" applyFill="1" applyBorder="1" applyAlignment="1" applyProtection="1">
      <alignment horizontal="center" vertical="center"/>
      <protection locked="0"/>
    </xf>
    <xf numFmtId="9" fontId="27" fillId="12" borderId="0" xfId="12" applyNumberFormat="1" applyFont="1" applyFill="1" applyBorder="1" applyAlignment="1" applyProtection="1">
      <alignment horizontal="center" vertical="center"/>
      <protection locked="0"/>
    </xf>
    <xf numFmtId="0" fontId="27" fillId="12" borderId="0" xfId="12" applyFont="1" applyFill="1" applyBorder="1" applyAlignment="1">
      <alignment horizontal="right" vertical="center"/>
    </xf>
    <xf numFmtId="175" fontId="27" fillId="12" borderId="0" xfId="12" applyNumberFormat="1" applyFont="1" applyFill="1" applyBorder="1" applyAlignment="1">
      <alignment vertical="center"/>
    </xf>
    <xf numFmtId="164" fontId="27" fillId="12" borderId="0" xfId="12" applyNumberFormat="1" applyFont="1" applyFill="1" applyBorder="1" applyAlignment="1">
      <alignment horizontal="center" vertical="center"/>
    </xf>
    <xf numFmtId="0" fontId="27" fillId="12" borderId="0" xfId="11" applyFont="1" applyFill="1" applyBorder="1" applyAlignment="1" applyProtection="1">
      <alignment horizontal="center" vertical="center"/>
      <protection locked="0"/>
    </xf>
    <xf numFmtId="0" fontId="27" fillId="12" borderId="0" xfId="12" applyFont="1" applyFill="1" applyBorder="1" applyAlignment="1" applyProtection="1">
      <alignment vertical="center"/>
      <protection locked="0"/>
    </xf>
    <xf numFmtId="0" fontId="27" fillId="12" borderId="0" xfId="12" applyFont="1" applyFill="1" applyBorder="1" applyAlignment="1">
      <alignment horizontal="centerContinuous" vertical="center"/>
    </xf>
    <xf numFmtId="44" fontId="27" fillId="12" borderId="0" xfId="12" applyNumberFormat="1" applyFont="1" applyFill="1" applyBorder="1" applyAlignment="1">
      <alignment vertical="center"/>
    </xf>
    <xf numFmtId="164" fontId="27" fillId="12" borderId="0" xfId="12" applyNumberFormat="1" applyFont="1" applyFill="1" applyBorder="1" applyAlignment="1">
      <alignment vertical="center"/>
    </xf>
    <xf numFmtId="44" fontId="27" fillId="15" borderId="0" xfId="0" applyNumberFormat="1" applyFont="1" applyFill="1" applyAlignment="1" applyProtection="1">
      <alignment vertical="center"/>
      <protection locked="0"/>
    </xf>
    <xf numFmtId="0" fontId="27" fillId="0" borderId="0" xfId="0" applyNumberFormat="1" applyFont="1" applyAlignment="1" applyProtection="1">
      <alignment vertical="center"/>
      <protection locked="0"/>
    </xf>
    <xf numFmtId="175" fontId="27" fillId="0" borderId="0" xfId="0" applyNumberFormat="1" applyFont="1" applyAlignment="1" applyProtection="1">
      <alignment vertical="center"/>
      <protection locked="0"/>
    </xf>
    <xf numFmtId="175" fontId="27" fillId="12" borderId="38" xfId="12" applyNumberFormat="1" applyFont="1" applyFill="1" applyBorder="1" applyAlignment="1">
      <alignment vertical="center"/>
    </xf>
    <xf numFmtId="0" fontId="27" fillId="15" borderId="0" xfId="12" applyFont="1" applyFill="1" applyBorder="1" applyAlignment="1">
      <alignment vertical="center"/>
    </xf>
    <xf numFmtId="0" fontId="27" fillId="15" borderId="0" xfId="12" applyFont="1" applyFill="1" applyBorder="1" applyAlignment="1">
      <alignment horizontal="right" vertical="center"/>
    </xf>
    <xf numFmtId="175" fontId="27" fillId="15" borderId="0" xfId="12" applyNumberFormat="1" applyFont="1" applyFill="1" applyBorder="1" applyAlignment="1">
      <alignment vertical="center"/>
    </xf>
    <xf numFmtId="0" fontId="29" fillId="15" borderId="0" xfId="13" applyFont="1" applyFill="1" applyBorder="1" applyAlignment="1">
      <alignment horizontal="right" vertical="center"/>
    </xf>
    <xf numFmtId="43" fontId="29" fillId="15" borderId="0" xfId="6" applyFont="1" applyFill="1" applyBorder="1" applyAlignment="1">
      <alignment vertical="center"/>
    </xf>
    <xf numFmtId="0" fontId="29" fillId="15" borderId="0" xfId="13" applyFont="1" applyFill="1" applyBorder="1" applyAlignment="1">
      <alignment horizontal="left" vertical="center"/>
    </xf>
    <xf numFmtId="0" fontId="30" fillId="15" borderId="0" xfId="13" applyFont="1" applyFill="1" applyBorder="1" applyAlignment="1">
      <alignment vertical="center"/>
    </xf>
    <xf numFmtId="14" fontId="30" fillId="15" borderId="0" xfId="13" applyNumberFormat="1" applyFont="1" applyFill="1" applyBorder="1" applyAlignment="1">
      <alignment horizontal="center" vertical="center"/>
    </xf>
    <xf numFmtId="0" fontId="30" fillId="15" borderId="0" xfId="13" applyFont="1" applyFill="1" applyBorder="1" applyAlignment="1">
      <alignment horizontal="center" vertical="center"/>
    </xf>
    <xf numFmtId="0" fontId="30" fillId="15" borderId="0" xfId="13" applyFont="1" applyFill="1" applyBorder="1" applyAlignment="1" applyProtection="1">
      <alignment vertical="center"/>
      <protection locked="0"/>
    </xf>
    <xf numFmtId="0" fontId="30" fillId="15" borderId="0" xfId="13" applyFont="1" applyFill="1" applyBorder="1" applyAlignment="1" applyProtection="1">
      <alignment horizontal="centerContinuous" vertical="center"/>
      <protection locked="0"/>
    </xf>
    <xf numFmtId="0" fontId="30" fillId="11" borderId="0" xfId="13" applyFont="1" applyFill="1" applyBorder="1" applyAlignment="1" applyProtection="1">
      <alignment horizontal="centerContinuous" vertical="center"/>
      <protection locked="0"/>
    </xf>
    <xf numFmtId="14" fontId="30" fillId="15" borderId="0" xfId="1" applyNumberFormat="1" applyFont="1" applyFill="1" applyBorder="1" applyAlignment="1">
      <alignment horizontal="center" vertical="center"/>
    </xf>
    <xf numFmtId="173" fontId="30" fillId="15" borderId="0" xfId="13" applyNumberFormat="1" applyFont="1" applyFill="1" applyBorder="1" applyAlignment="1">
      <alignment horizontal="left" vertical="center"/>
    </xf>
    <xf numFmtId="0" fontId="30" fillId="15" borderId="0" xfId="13" applyFont="1" applyFill="1" applyBorder="1" applyAlignment="1" applyProtection="1">
      <alignment horizontal="right" vertical="center"/>
    </xf>
    <xf numFmtId="175" fontId="30" fillId="15" borderId="0" xfId="13" applyNumberFormat="1" applyFont="1" applyFill="1" applyBorder="1" applyAlignment="1" applyProtection="1">
      <alignment vertical="center"/>
    </xf>
    <xf numFmtId="175" fontId="30" fillId="15" borderId="0" xfId="13" applyNumberFormat="1" applyFont="1" applyFill="1" applyBorder="1" applyAlignment="1">
      <alignment vertical="center"/>
    </xf>
    <xf numFmtId="171" fontId="30" fillId="15" borderId="0" xfId="13" applyNumberFormat="1" applyFont="1" applyFill="1" applyBorder="1" applyAlignment="1" applyProtection="1">
      <alignment vertical="center"/>
      <protection locked="0" hidden="1"/>
    </xf>
    <xf numFmtId="0" fontId="30" fillId="15" borderId="0" xfId="13" applyFont="1" applyFill="1" applyBorder="1" applyAlignment="1">
      <alignment horizontal="right" vertical="center"/>
    </xf>
    <xf numFmtId="0" fontId="30" fillId="11" borderId="0" xfId="13" applyFont="1" applyFill="1" applyBorder="1" applyAlignment="1" applyProtection="1">
      <alignment horizontal="right" vertical="center"/>
    </xf>
    <xf numFmtId="175" fontId="30" fillId="11" borderId="0" xfId="13" applyNumberFormat="1" applyFont="1" applyFill="1" applyBorder="1" applyAlignment="1" applyProtection="1">
      <alignment vertical="center"/>
    </xf>
    <xf numFmtId="0" fontId="30" fillId="11" borderId="0" xfId="13" applyFont="1" applyFill="1" applyBorder="1" applyAlignment="1" applyProtection="1">
      <alignment vertical="center"/>
      <protection locked="0"/>
    </xf>
    <xf numFmtId="0" fontId="30" fillId="15" borderId="0" xfId="13" applyFont="1" applyFill="1" applyBorder="1" applyAlignment="1" applyProtection="1">
      <alignment vertical="center"/>
    </xf>
    <xf numFmtId="0" fontId="29" fillId="15" borderId="0" xfId="13" applyFont="1" applyFill="1" applyBorder="1" applyAlignment="1">
      <alignment vertical="center"/>
    </xf>
    <xf numFmtId="175" fontId="29" fillId="15" borderId="0" xfId="6" applyNumberFormat="1" applyFont="1" applyFill="1" applyBorder="1" applyAlignment="1">
      <alignment vertical="center"/>
    </xf>
    <xf numFmtId="10" fontId="30" fillId="15" borderId="0" xfId="13" applyNumberFormat="1" applyFont="1" applyFill="1" applyBorder="1" applyAlignment="1">
      <alignment vertical="center"/>
    </xf>
    <xf numFmtId="44" fontId="30" fillId="11" borderId="0" xfId="13" applyNumberFormat="1" applyFont="1" applyFill="1" applyBorder="1" applyAlignment="1" applyProtection="1">
      <alignment vertical="center"/>
      <protection locked="0"/>
    </xf>
    <xf numFmtId="10" fontId="30" fillId="15" borderId="0" xfId="13" applyNumberFormat="1" applyFont="1" applyFill="1" applyBorder="1" applyAlignment="1" applyProtection="1">
      <alignment vertical="center"/>
      <protection locked="0"/>
    </xf>
    <xf numFmtId="44" fontId="27" fillId="0" borderId="0" xfId="0" applyNumberFormat="1" applyFont="1" applyAlignment="1" applyProtection="1">
      <alignment vertical="center"/>
      <protection locked="0"/>
    </xf>
    <xf numFmtId="175" fontId="30" fillId="15" borderId="0" xfId="13" quotePrefix="1" applyNumberFormat="1" applyFont="1" applyFill="1" applyBorder="1" applyAlignment="1" applyProtection="1">
      <alignment horizontal="center" vertical="center"/>
    </xf>
    <xf numFmtId="0" fontId="30" fillId="11" borderId="0" xfId="13" applyFont="1" applyFill="1" applyBorder="1" applyAlignment="1" applyProtection="1">
      <alignment vertical="center"/>
    </xf>
    <xf numFmtId="175" fontId="30" fillId="11" borderId="0" xfId="13" quotePrefix="1" applyNumberFormat="1" applyFont="1" applyFill="1" applyBorder="1" applyAlignment="1" applyProtection="1">
      <alignment horizontal="center" vertical="center"/>
    </xf>
    <xf numFmtId="175" fontId="30" fillId="15" borderId="0" xfId="13" quotePrefix="1" applyNumberFormat="1" applyFont="1" applyFill="1" applyBorder="1" applyAlignment="1">
      <alignment horizontal="center" vertical="center"/>
    </xf>
    <xf numFmtId="44" fontId="30" fillId="15" borderId="0" xfId="13" applyNumberFormat="1" applyFont="1" applyFill="1" applyBorder="1" applyAlignment="1">
      <alignment vertical="center"/>
    </xf>
    <xf numFmtId="10" fontId="29" fillId="15" borderId="0" xfId="13" applyNumberFormat="1" applyFont="1" applyFill="1" applyBorder="1" applyAlignment="1" applyProtection="1">
      <alignment vertical="center"/>
    </xf>
    <xf numFmtId="0" fontId="30" fillId="15" borderId="0" xfId="13" applyNumberFormat="1" applyFont="1" applyFill="1" applyBorder="1" applyAlignment="1" applyProtection="1">
      <alignment vertical="center"/>
      <protection locked="0"/>
    </xf>
    <xf numFmtId="175" fontId="29" fillId="15" borderId="0" xfId="13" applyNumberFormat="1" applyFont="1" applyFill="1" applyBorder="1" applyAlignment="1" applyProtection="1">
      <alignment vertical="center"/>
      <protection hidden="1"/>
    </xf>
    <xf numFmtId="10" fontId="29" fillId="15" borderId="0" xfId="13" applyNumberFormat="1" applyFont="1" applyFill="1" applyBorder="1" applyAlignment="1">
      <alignment vertical="center"/>
    </xf>
    <xf numFmtId="175" fontId="29" fillId="15" borderId="0" xfId="13" applyNumberFormat="1" applyFont="1" applyFill="1" applyBorder="1" applyAlignment="1" applyProtection="1">
      <alignment vertical="center"/>
    </xf>
    <xf numFmtId="175" fontId="29" fillId="11" borderId="0" xfId="13" applyNumberFormat="1" applyFont="1" applyFill="1" applyBorder="1" applyAlignment="1" applyProtection="1">
      <alignment vertical="center"/>
    </xf>
    <xf numFmtId="175" fontId="27" fillId="0" borderId="0" xfId="0" applyNumberFormat="1" applyFont="1" applyAlignment="1" applyProtection="1">
      <alignment vertical="center"/>
    </xf>
    <xf numFmtId="175" fontId="27" fillId="0" borderId="52" xfId="0" applyNumberFormat="1" applyFont="1" applyBorder="1" applyAlignment="1" applyProtection="1">
      <alignment vertical="center"/>
    </xf>
    <xf numFmtId="44" fontId="27" fillId="0" borderId="0" xfId="0" applyNumberFormat="1" applyFont="1" applyAlignment="1" applyProtection="1">
      <alignment horizontal="center" vertical="center"/>
      <protection locked="0"/>
    </xf>
    <xf numFmtId="44" fontId="28" fillId="0" borderId="0" xfId="0" applyNumberFormat="1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9" fontId="27" fillId="0" borderId="0" xfId="10" applyFont="1" applyAlignment="1" applyProtection="1">
      <alignment vertical="center"/>
    </xf>
    <xf numFmtId="175" fontId="27" fillId="0" borderId="0" xfId="0" applyNumberFormat="1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  <protection locked="0"/>
    </xf>
    <xf numFmtId="175" fontId="28" fillId="0" borderId="0" xfId="0" applyNumberFormat="1" applyFont="1" applyAlignment="1" applyProtection="1">
      <alignment vertical="center"/>
    </xf>
    <xf numFmtId="44" fontId="28" fillId="0" borderId="0" xfId="0" applyNumberFormat="1" applyFont="1" applyAlignment="1" applyProtection="1">
      <alignment vertical="center"/>
    </xf>
    <xf numFmtId="0" fontId="8" fillId="0" borderId="28" xfId="7" applyFont="1" applyBorder="1" applyAlignment="1" applyProtection="1">
      <alignment horizontal="center" vertical="center"/>
      <protection hidden="1"/>
    </xf>
    <xf numFmtId="43" fontId="28" fillId="0" borderId="0" xfId="6" applyFont="1" applyAlignment="1" applyProtection="1">
      <alignment vertical="center"/>
      <protection locked="0"/>
    </xf>
    <xf numFmtId="172" fontId="28" fillId="0" borderId="0" xfId="0" applyNumberFormat="1" applyFont="1" applyAlignment="1" applyProtection="1">
      <alignment vertical="center"/>
      <protection locked="0"/>
    </xf>
    <xf numFmtId="170" fontId="13" fillId="3" borderId="20" xfId="8" applyNumberFormat="1" applyFont="1" applyFill="1" applyBorder="1" applyAlignment="1" applyProtection="1">
      <alignment horizontal="center"/>
      <protection hidden="1"/>
    </xf>
    <xf numFmtId="0" fontId="13" fillId="3" borderId="18" xfId="8" applyFont="1" applyFill="1" applyBorder="1" applyAlignment="1" applyProtection="1">
      <alignment horizontal="center"/>
      <protection hidden="1"/>
    </xf>
    <xf numFmtId="167" fontId="9" fillId="16" borderId="0" xfId="10" applyNumberFormat="1" applyFont="1" applyFill="1" applyBorder="1" applyProtection="1">
      <protection locked="0" hidden="1"/>
    </xf>
    <xf numFmtId="44" fontId="28" fillId="15" borderId="52" xfId="0" applyNumberFormat="1" applyFont="1" applyFill="1" applyBorder="1" applyAlignment="1" applyProtection="1">
      <alignment vertical="center"/>
      <protection locked="0"/>
    </xf>
    <xf numFmtId="44" fontId="28" fillId="0" borderId="0" xfId="0" applyNumberFormat="1" applyFont="1" applyAlignment="1" applyProtection="1">
      <alignment horizontal="center" vertical="center"/>
      <protection locked="0"/>
    </xf>
    <xf numFmtId="0" fontId="15" fillId="0" borderId="0" xfId="9" applyFont="1" applyAlignment="1">
      <alignment horizontal="center" vertical="center"/>
    </xf>
    <xf numFmtId="0" fontId="5" fillId="2" borderId="0" xfId="7" applyFont="1" applyFill="1" applyAlignment="1" applyProtection="1">
      <alignment horizontal="center" vertical="center"/>
      <protection hidden="1"/>
    </xf>
    <xf numFmtId="0" fontId="5" fillId="2" borderId="46" xfId="7" applyFont="1" applyFill="1" applyBorder="1" applyAlignment="1" applyProtection="1">
      <alignment horizontal="center" vertical="center"/>
      <protection hidden="1"/>
    </xf>
    <xf numFmtId="0" fontId="6" fillId="0" borderId="0" xfId="7" applyAlignment="1" applyProtection="1">
      <alignment horizontal="center" vertical="center"/>
      <protection hidden="1"/>
    </xf>
    <xf numFmtId="0" fontId="6" fillId="0" borderId="46" xfId="7" applyBorder="1" applyAlignment="1" applyProtection="1">
      <alignment horizontal="center" vertical="center"/>
      <protection hidden="1"/>
    </xf>
    <xf numFmtId="0" fontId="8" fillId="3" borderId="47" xfId="7" applyFont="1" applyFill="1" applyBorder="1" applyAlignment="1" applyProtection="1">
      <alignment horizontal="center" vertical="center" wrapText="1"/>
      <protection hidden="1"/>
    </xf>
    <xf numFmtId="0" fontId="6" fillId="0" borderId="0" xfId="7" applyAlignment="1" applyProtection="1">
      <alignment horizontal="center" vertical="center" wrapText="1"/>
      <protection hidden="1"/>
    </xf>
    <xf numFmtId="0" fontId="6" fillId="0" borderId="48" xfId="7" applyBorder="1" applyAlignment="1" applyProtection="1">
      <alignment horizontal="center" vertical="center" wrapText="1"/>
      <protection hidden="1"/>
    </xf>
    <xf numFmtId="0" fontId="6" fillId="0" borderId="49" xfId="7" applyBorder="1" applyAlignment="1" applyProtection="1">
      <alignment horizontal="center" vertical="center" wrapText="1"/>
      <protection hidden="1"/>
    </xf>
    <xf numFmtId="4" fontId="14" fillId="0" borderId="20" xfId="8" applyNumberFormat="1" applyFont="1" applyBorder="1" applyAlignment="1" applyProtection="1">
      <alignment horizontal="center" vertical="center"/>
      <protection hidden="1"/>
    </xf>
    <xf numFmtId="4" fontId="14" fillId="0" borderId="40" xfId="8" applyNumberFormat="1" applyFont="1" applyBorder="1" applyAlignment="1" applyProtection="1">
      <alignment horizontal="center" vertical="center"/>
      <protection hidden="1"/>
    </xf>
    <xf numFmtId="0" fontId="8" fillId="3" borderId="2" xfId="7" applyFont="1" applyFill="1" applyBorder="1" applyAlignment="1" applyProtection="1">
      <alignment horizontal="center" wrapText="1"/>
      <protection hidden="1"/>
    </xf>
    <xf numFmtId="0" fontId="6" fillId="0" borderId="3" xfId="7" applyBorder="1" applyProtection="1">
      <protection hidden="1"/>
    </xf>
    <xf numFmtId="0" fontId="6" fillId="0" borderId="4" xfId="7" applyBorder="1" applyProtection="1">
      <protection hidden="1"/>
    </xf>
    <xf numFmtId="168" fontId="8" fillId="0" borderId="20" xfId="8" applyNumberFormat="1" applyFont="1" applyBorder="1" applyAlignment="1" applyProtection="1">
      <alignment horizontal="center" vertical="center"/>
      <protection hidden="1"/>
    </xf>
    <xf numFmtId="168" fontId="8" fillId="0" borderId="40" xfId="8" applyNumberFormat="1" applyFont="1" applyBorder="1" applyAlignment="1" applyProtection="1">
      <alignment horizontal="center" vertical="center"/>
      <protection hidden="1"/>
    </xf>
    <xf numFmtId="168" fontId="8" fillId="0" borderId="20" xfId="8" applyNumberFormat="1" applyFont="1" applyBorder="1" applyAlignment="1" applyProtection="1">
      <alignment horizontal="center"/>
      <protection hidden="1"/>
    </xf>
    <xf numFmtId="168" fontId="8" fillId="0" borderId="40" xfId="8" applyNumberFormat="1" applyFont="1" applyBorder="1" applyAlignment="1" applyProtection="1">
      <alignment horizontal="center"/>
      <protection hidden="1"/>
    </xf>
    <xf numFmtId="0" fontId="13" fillId="3" borderId="45" xfId="8" applyFont="1" applyFill="1" applyBorder="1" applyAlignment="1" applyProtection="1">
      <alignment horizontal="center"/>
      <protection hidden="1"/>
    </xf>
    <xf numFmtId="0" fontId="13" fillId="3" borderId="40" xfId="8" applyFont="1" applyFill="1" applyBorder="1" applyAlignment="1" applyProtection="1">
      <alignment horizontal="center"/>
      <protection hidden="1"/>
    </xf>
    <xf numFmtId="0" fontId="8" fillId="3" borderId="8" xfId="7" applyFont="1" applyFill="1" applyBorder="1" applyAlignment="1" applyProtection="1">
      <alignment horizontal="center" vertical="center" wrapText="1"/>
      <protection hidden="1"/>
    </xf>
    <xf numFmtId="0" fontId="6" fillId="0" borderId="21" xfId="7" applyBorder="1" applyAlignment="1" applyProtection="1">
      <alignment horizontal="center" vertical="center" wrapText="1"/>
      <protection hidden="1"/>
    </xf>
    <xf numFmtId="0" fontId="6" fillId="0" borderId="41" xfId="7" applyBorder="1" applyAlignment="1" applyProtection="1">
      <alignment horizontal="center" vertical="center" wrapText="1"/>
      <protection hidden="1"/>
    </xf>
    <xf numFmtId="0" fontId="8" fillId="3" borderId="42" xfId="7" applyFont="1" applyFill="1" applyBorder="1" applyAlignment="1" applyProtection="1">
      <alignment horizontal="center" vertical="center" wrapText="1"/>
      <protection hidden="1"/>
    </xf>
    <xf numFmtId="0" fontId="6" fillId="0" borderId="43" xfId="7" applyBorder="1" applyAlignment="1" applyProtection="1">
      <alignment horizontal="center" vertical="center" wrapText="1"/>
      <protection hidden="1"/>
    </xf>
    <xf numFmtId="0" fontId="6" fillId="0" borderId="44" xfId="7" applyBorder="1" applyAlignment="1" applyProtection="1">
      <alignment horizontal="center" vertical="center" wrapText="1"/>
      <protection hidden="1"/>
    </xf>
    <xf numFmtId="0" fontId="13" fillId="3" borderId="45" xfId="8" applyFont="1" applyFill="1" applyBorder="1" applyAlignment="1" applyProtection="1">
      <protection locked="0" hidden="1"/>
    </xf>
    <xf numFmtId="0" fontId="13" fillId="3" borderId="40" xfId="8" applyFont="1" applyFill="1" applyBorder="1" applyAlignment="1" applyProtection="1">
      <protection locked="0" hidden="1"/>
    </xf>
    <xf numFmtId="0" fontId="8" fillId="3" borderId="42" xfId="7" applyFont="1" applyFill="1" applyBorder="1" applyAlignment="1" applyProtection="1">
      <alignment horizontal="center" vertical="center"/>
      <protection hidden="1"/>
    </xf>
    <xf numFmtId="0" fontId="6" fillId="0" borderId="43" xfId="7" applyBorder="1" applyAlignment="1" applyProtection="1">
      <alignment horizontal="center" vertical="center"/>
      <protection hidden="1"/>
    </xf>
    <xf numFmtId="0" fontId="6" fillId="0" borderId="44" xfId="7" applyBorder="1" applyAlignment="1" applyProtection="1">
      <alignment horizontal="center" vertical="center"/>
      <protection hidden="1"/>
    </xf>
  </cellXfs>
  <cellStyles count="16">
    <cellStyle name="20% - Énfasis1" xfId="1" builtinId="30"/>
    <cellStyle name="20% - Énfasis3" xfId="11" builtinId="38"/>
    <cellStyle name="20% - Énfasis6" xfId="13" builtinId="50"/>
    <cellStyle name="40% - Énfasis6" xfId="14" builtinId="51"/>
    <cellStyle name="Comma_NOMINA" xfId="2"/>
    <cellStyle name="Encabezado 4" xfId="3" builtinId="19"/>
    <cellStyle name="Énfasis6" xfId="12" builtinId="49"/>
    <cellStyle name="Euro" xfId="4"/>
    <cellStyle name="Hyperlink_IMSS-INFONAVIT" xfId="5"/>
    <cellStyle name="Millares" xfId="6" builtinId="3"/>
    <cellStyle name="Moneda" xfId="15" builtinId="4"/>
    <cellStyle name="Normal" xfId="0" builtinId="0"/>
    <cellStyle name="Normal_Calc IMSS-INFONAVIT" xfId="7"/>
    <cellStyle name="Normal_NOMINA" xfId="8"/>
    <cellStyle name="Normal_Prevision Social" xfId="9"/>
    <cellStyle name="Porcentaje" xfId="10" builtinId="5"/>
  </cellStyles>
  <dxfs count="15">
    <dxf>
      <font>
        <color rgb="FFFFC000"/>
      </font>
      <fill>
        <patternFill>
          <bgColor theme="5" tint="-0.24994659260841701"/>
        </patternFill>
      </fill>
    </dxf>
    <dxf>
      <fill>
        <patternFill patternType="mediumGray">
          <fgColor indexed="9"/>
          <bgColor indexed="42"/>
        </patternFill>
      </fill>
    </dxf>
    <dxf>
      <font>
        <color auto="1"/>
      </font>
      <fill>
        <patternFill patternType="darkDown">
          <fgColor theme="4" tint="0.59996337778862885"/>
          <bgColor auto="1"/>
        </patternFill>
      </fill>
    </dxf>
    <dxf>
      <fill>
        <patternFill patternType="darkUp">
          <fgColor theme="4" tint="0.59996337778862885"/>
          <bgColor auto="1"/>
        </patternFill>
      </fill>
    </dxf>
    <dxf>
      <font>
        <color auto="1"/>
      </font>
      <fill>
        <patternFill patternType="darkDown">
          <fgColor theme="4" tint="0.59996337778862885"/>
          <bgColor auto="1"/>
        </patternFill>
      </fill>
    </dxf>
    <dxf>
      <fill>
        <patternFill patternType="darkUp">
          <fgColor theme="4" tint="0.59996337778862885"/>
          <bgColor auto="1"/>
        </patternFill>
      </fill>
    </dxf>
    <dxf>
      <font>
        <color auto="1"/>
      </font>
      <fill>
        <patternFill patternType="darkDown">
          <fgColor theme="4" tint="0.59996337778862885"/>
          <bgColor auto="1"/>
        </patternFill>
      </fill>
    </dxf>
    <dxf>
      <fill>
        <patternFill patternType="darkUp">
          <fgColor theme="4" tint="0.59996337778862885"/>
          <bgColor auto="1"/>
        </patternFill>
      </fill>
    </dxf>
    <dxf>
      <font>
        <color auto="1"/>
      </font>
      <fill>
        <patternFill patternType="darkDown">
          <fgColor theme="4" tint="0.59996337778862885"/>
          <bgColor auto="1"/>
        </patternFill>
      </fill>
    </dxf>
    <dxf>
      <fill>
        <patternFill patternType="darkUp">
          <fgColor theme="4" tint="0.59996337778862885"/>
          <bgColor auto="1"/>
        </patternFill>
      </fill>
    </dxf>
    <dxf>
      <font>
        <color auto="1"/>
      </font>
      <fill>
        <patternFill patternType="darkDown">
          <fgColor theme="4" tint="0.59996337778862885"/>
          <bgColor auto="1"/>
        </patternFill>
      </fill>
    </dxf>
    <dxf>
      <fill>
        <patternFill patternType="darkUp">
          <fgColor theme="4" tint="0.59996337778862885"/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CC"/>
      <color rgb="FFF2F4A6"/>
      <color rgb="FF009999"/>
      <color rgb="FFF6EE48"/>
      <color rgb="FF00808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C$2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6</xdr:col>
          <xdr:colOff>2028825</xdr:colOff>
          <xdr:row>11</xdr:row>
          <xdr:rowOff>136525</xdr:rowOff>
        </xdr:to>
        <xdr:pic>
          <xdr:nvPicPr>
            <xdr:cNvPr id="5121" name="Picture 1"/>
            <xdr:cNvPicPr>
              <a:picLocks noChangeAspect="1" noChangeArrowheads="1"/>
              <a:extLst>
                <a:ext uri="{84589F7E-364E-4C9E-8A38-B11213B215E9}">
                  <a14:cameraTool cellRange="Sueldo!$A$33:$G$43" spid="_x0000_s51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2700"/>
              <a:ext cx="7058025" cy="1905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22</xdr:row>
          <xdr:rowOff>57150</xdr:rowOff>
        </xdr:from>
        <xdr:to>
          <xdr:col>3</xdr:col>
          <xdr:colOff>361950</xdr:colOff>
          <xdr:row>23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Puntualidad y Asistencia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activeCell="H19" sqref="H19"/>
    </sheetView>
  </sheetViews>
  <sheetFormatPr baseColWidth="10" defaultRowHeight="12.75" x14ac:dyDescent="0.2"/>
  <cols>
    <col min="7" max="7" width="26.75" customWidth="1"/>
  </cols>
  <sheetData/>
  <pageMargins left="0.25" right="0.25" top="0.75" bottom="0.75" header="0.3" footer="0.3"/>
  <pageSetup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L50"/>
  <sheetViews>
    <sheetView tabSelected="1" workbookViewId="0">
      <selection activeCell="B10" sqref="B10"/>
    </sheetView>
  </sheetViews>
  <sheetFormatPr baseColWidth="10" defaultRowHeight="13.5" x14ac:dyDescent="0.2"/>
  <cols>
    <col min="1" max="1" width="12.625" style="126" bestFit="1" customWidth="1"/>
    <col min="2" max="2" width="14" style="126" customWidth="1"/>
    <col min="3" max="3" width="13.25" style="126" bestFit="1" customWidth="1"/>
    <col min="4" max="4" width="17" style="126" customWidth="1"/>
    <col min="5" max="5" width="11.75" style="126" customWidth="1"/>
    <col min="6" max="6" width="10.625" style="126" customWidth="1"/>
    <col min="7" max="7" width="13.25" style="126" customWidth="1"/>
    <col min="8" max="8" width="13.5" style="126" bestFit="1" customWidth="1"/>
    <col min="9" max="9" width="2" style="126" customWidth="1"/>
    <col min="10" max="10" width="17.125" style="126" bestFit="1" customWidth="1"/>
    <col min="11" max="16384" width="11" style="126"/>
  </cols>
  <sheetData>
    <row r="1" spans="1:11" x14ac:dyDescent="0.2">
      <c r="A1" s="121"/>
      <c r="B1" s="122" t="s">
        <v>143</v>
      </c>
      <c r="C1" s="122"/>
      <c r="D1" s="123" t="s">
        <v>133</v>
      </c>
      <c r="E1" s="122"/>
      <c r="F1" s="122"/>
      <c r="G1" s="124" t="s">
        <v>121</v>
      </c>
      <c r="H1" s="125"/>
    </row>
    <row r="2" spans="1:11" x14ac:dyDescent="0.2">
      <c r="A2" s="127" t="s">
        <v>1</v>
      </c>
      <c r="B2" s="128">
        <f>VLOOKUP($B$5,T_ISR,1)</f>
        <v>496.08</v>
      </c>
      <c r="C2" s="123" t="s">
        <v>3</v>
      </c>
      <c r="D2" s="129">
        <f>VLOOKUP($B$5,T_ISR,3)</f>
        <v>9.52</v>
      </c>
      <c r="E2" s="122" t="s">
        <v>2</v>
      </c>
      <c r="F2" s="122"/>
      <c r="G2" s="122" t="s">
        <v>120</v>
      </c>
      <c r="H2" s="130">
        <f>(F10/365)*30.4</f>
        <v>1.2493150684931507</v>
      </c>
      <c r="J2" s="131"/>
    </row>
    <row r="3" spans="1:11" x14ac:dyDescent="0.2">
      <c r="A3" s="127" t="s">
        <v>0</v>
      </c>
      <c r="B3" s="128">
        <f>$B$5-$B$2</f>
        <v>3349.3394410304054</v>
      </c>
      <c r="C3" s="132">
        <f>VLOOKUP($B$5,T_ISR,4)%</f>
        <v>6.4000000000000001E-2</v>
      </c>
      <c r="D3" s="129">
        <f>$B$3*$C$3</f>
        <v>214.35772422594596</v>
      </c>
      <c r="E3" s="122" t="s">
        <v>128</v>
      </c>
      <c r="F3" s="122"/>
      <c r="G3" s="122"/>
      <c r="H3" s="128">
        <f>B9*H2</f>
        <v>158.02586301369863</v>
      </c>
    </row>
    <row r="4" spans="1:11" x14ac:dyDescent="0.2">
      <c r="A4" s="122"/>
      <c r="B4" s="133" t="str">
        <f ca="1">REPT("-",CELL("ancho",B4)*2)</f>
        <v>--------------------------</v>
      </c>
      <c r="C4" s="123"/>
      <c r="D4" s="134" t="str">
        <f ca="1">REPT("-",CELL("ancho",D4)*2)</f>
        <v>--------------------------------</v>
      </c>
      <c r="E4" s="122"/>
      <c r="F4" s="122"/>
      <c r="G4" s="122" t="s">
        <v>126</v>
      </c>
      <c r="H4" s="130">
        <f ca="1">(E10/365)*30.4</f>
        <v>0.49972602739726019</v>
      </c>
      <c r="J4" s="131"/>
    </row>
    <row r="5" spans="1:11" x14ac:dyDescent="0.2">
      <c r="A5" s="122" t="s">
        <v>144</v>
      </c>
      <c r="B5" s="135">
        <f>($B$26/$C$9)*30.4</f>
        <v>3845.4194410304053</v>
      </c>
      <c r="C5" s="123"/>
      <c r="D5" s="129">
        <f>SUM($D$2:$D$3)</f>
        <v>223.87772422594597</v>
      </c>
      <c r="E5" s="122" t="s">
        <v>89</v>
      </c>
      <c r="F5" s="122"/>
      <c r="G5" s="122"/>
      <c r="H5" s="128">
        <f ca="1">(B9*H4)*0.25</f>
        <v>15.80258630136986</v>
      </c>
    </row>
    <row r="6" spans="1:11" x14ac:dyDescent="0.2">
      <c r="A6" s="122" t="s">
        <v>142</v>
      </c>
      <c r="B6" s="135">
        <f>$D$7/B5*B26</f>
        <v>-36.515655605867707</v>
      </c>
      <c r="C6" s="127"/>
      <c r="D6" s="136">
        <f>VLOOKUP($B$5,T_SAE,3)</f>
        <v>382.46</v>
      </c>
      <c r="E6" s="122" t="s">
        <v>119</v>
      </c>
      <c r="F6" s="122"/>
      <c r="G6" s="122"/>
      <c r="H6" s="122"/>
      <c r="J6" s="131"/>
    </row>
    <row r="7" spans="1:11" x14ac:dyDescent="0.2">
      <c r="A7" s="122"/>
      <c r="B7" s="137"/>
      <c r="C7" s="122"/>
      <c r="D7" s="138">
        <f>$D$5-$D$6</f>
        <v>-158.58227577405401</v>
      </c>
      <c r="E7" s="122" t="str">
        <f>IF($D$7&gt;0,"Impuesto mensual","Subsidio al Empleado")</f>
        <v>Subsidio al Empleado</v>
      </c>
      <c r="F7" s="122"/>
      <c r="G7" s="127" t="s">
        <v>127</v>
      </c>
      <c r="H7" s="128">
        <f ca="1">SUM(H3,H5)</f>
        <v>173.8284493150685</v>
      </c>
    </row>
    <row r="8" spans="1:11" x14ac:dyDescent="0.2">
      <c r="A8" s="139" t="s">
        <v>92</v>
      </c>
      <c r="B8" s="140"/>
      <c r="C8" s="140" t="s">
        <v>86</v>
      </c>
      <c r="D8" s="139"/>
      <c r="E8" s="139"/>
      <c r="F8" s="139"/>
      <c r="G8" s="139"/>
      <c r="H8" s="139"/>
      <c r="J8" s="131"/>
    </row>
    <row r="9" spans="1:11" x14ac:dyDescent="0.2">
      <c r="A9" s="141" t="s">
        <v>12</v>
      </c>
      <c r="B9" s="142">
        <f>ROUND($B$23/$C$9,2)</f>
        <v>126.49</v>
      </c>
      <c r="C9" s="143">
        <v>7</v>
      </c>
      <c r="D9" s="139"/>
      <c r="E9" s="139" t="s">
        <v>79</v>
      </c>
      <c r="F9" s="144">
        <v>0.25</v>
      </c>
      <c r="G9" s="139"/>
      <c r="H9" s="139"/>
    </row>
    <row r="10" spans="1:11" x14ac:dyDescent="0.2">
      <c r="A10" s="145" t="s">
        <v>13</v>
      </c>
      <c r="B10" s="146">
        <f ca="1">IF($B$9*$C$10&gt;SDI_TOPE,SDI_TOPE,$B$9*$C$10)</f>
        <v>132.20804109589042</v>
      </c>
      <c r="C10" s="147">
        <f ca="1">1+SUM(F13:F14)</f>
        <v>1.0452054794520549</v>
      </c>
      <c r="D10" s="139" t="s">
        <v>14</v>
      </c>
      <c r="E10" s="140">
        <f ca="1">VLOOKUP(D22+1,Col,2,0)</f>
        <v>6</v>
      </c>
      <c r="F10" s="143">
        <v>15</v>
      </c>
      <c r="G10" s="139"/>
      <c r="H10" s="139"/>
      <c r="J10" s="131"/>
    </row>
    <row r="11" spans="1:11" x14ac:dyDescent="0.2">
      <c r="A11" s="145" t="s">
        <v>75</v>
      </c>
      <c r="B11" s="148">
        <v>2015</v>
      </c>
      <c r="C11" s="149" t="s">
        <v>35</v>
      </c>
      <c r="D11" s="145" t="s">
        <v>123</v>
      </c>
      <c r="E11" s="143" t="s">
        <v>49</v>
      </c>
      <c r="F11" s="146">
        <f ca="1">VLOOKUP(E11,IMSS!A16:C18,2)</f>
        <v>66.45</v>
      </c>
      <c r="G11" s="139" t="s">
        <v>124</v>
      </c>
      <c r="H11" s="139"/>
    </row>
    <row r="12" spans="1:11" x14ac:dyDescent="0.2">
      <c r="A12" s="140" t="s">
        <v>74</v>
      </c>
      <c r="B12" s="146">
        <f t="shared" ref="B12" ca="1" si="0">SDI_TOPE</f>
        <v>1752.4999999999998</v>
      </c>
      <c r="C12" s="139"/>
      <c r="D12" s="150" t="s">
        <v>2</v>
      </c>
      <c r="E12" s="146">
        <f ca="1">ROUND((($C$9)*SMGDF)*C_F,2)</f>
        <v>100.1</v>
      </c>
      <c r="F12" s="139" t="s">
        <v>87</v>
      </c>
      <c r="G12" s="139"/>
      <c r="H12" s="139"/>
      <c r="J12" s="131"/>
    </row>
    <row r="13" spans="1:11" x14ac:dyDescent="0.2">
      <c r="A13" s="140"/>
      <c r="B13" s="151"/>
      <c r="C13" s="146">
        <f ca="1">ROUND(IF($C$9*$B$10&gt;$C$9*(3*SMGDF),(($C$9*$B$10)-($C$9*(3*SMGDF)))*Exc_T,0),2)</f>
        <v>0</v>
      </c>
      <c r="D13" s="150" t="s">
        <v>70</v>
      </c>
      <c r="E13" s="146">
        <f ca="1">ROUND(IF($C$9*$B$10&gt;$C$9*(3*SMGDF),(($C$9*$B$10)-($C$9*(3*SMGDF)))*Exc_P,0),2)</f>
        <v>0</v>
      </c>
      <c r="F13" s="152">
        <f ca="1">$F$9*$E$10/365</f>
        <v>4.10958904109589E-3</v>
      </c>
      <c r="G13" s="139" t="s">
        <v>78</v>
      </c>
      <c r="H13" s="139"/>
    </row>
    <row r="14" spans="1:11" x14ac:dyDescent="0.2">
      <c r="A14" s="140"/>
      <c r="B14" s="151"/>
      <c r="C14" s="146">
        <f ca="1">IF($B$9&gt;$F$11,ROUND($B$10*$C$9*PDiner_T,2),0)</f>
        <v>2.31</v>
      </c>
      <c r="D14" s="150" t="s">
        <v>71</v>
      </c>
      <c r="E14" s="146">
        <f ca="1">IF($B$9&gt;$F$11,ROUND($C$9*$B$10*PDiner_P,2),ROUND($C$9*$B$10*PDiner_P,2)+ROUND($B$10*$C$9*PDiner_T,2))</f>
        <v>6.48</v>
      </c>
      <c r="F14" s="152">
        <f>$F$10/365</f>
        <v>4.1095890410958902E-2</v>
      </c>
      <c r="G14" s="139" t="s">
        <v>117</v>
      </c>
      <c r="H14" s="139"/>
      <c r="J14" s="131"/>
    </row>
    <row r="15" spans="1:11" x14ac:dyDescent="0.2">
      <c r="A15" s="140"/>
      <c r="B15" s="151"/>
      <c r="C15" s="146">
        <f ca="1">IF($B$9&gt;$F$11,ROUND($B$10*$C$9*PEspec_T,2),0)</f>
        <v>3.47</v>
      </c>
      <c r="D15" s="150" t="s">
        <v>72</v>
      </c>
      <c r="E15" s="146">
        <f ca="1">IF($B$9&gt;$F$11,ROUND($C$9*$B$10*PEspec_P,2),ROUND($C$9*$B$10*PEspec_P,2)+ROUND($B$10*$C$9*PEspec_T,2))</f>
        <v>9.7200000000000006</v>
      </c>
      <c r="F15" s="150"/>
      <c r="G15" s="139"/>
      <c r="H15" s="139"/>
    </row>
    <row r="16" spans="1:11" x14ac:dyDescent="0.2">
      <c r="A16" s="140"/>
      <c r="B16" s="151"/>
      <c r="C16" s="146"/>
      <c r="D16" s="150" t="s">
        <v>90</v>
      </c>
      <c r="E16" s="146">
        <f ca="1">ROUND($C$9*$B$10*R_T,2)</f>
        <v>5.03</v>
      </c>
      <c r="F16" s="150"/>
      <c r="G16" s="139"/>
      <c r="H16" s="139"/>
      <c r="J16" s="153">
        <f ca="1">SUM(C12:E18)</f>
        <v>158.34</v>
      </c>
      <c r="K16" s="154" t="s">
        <v>152</v>
      </c>
    </row>
    <row r="17" spans="1:12" x14ac:dyDescent="0.2">
      <c r="A17" s="140"/>
      <c r="B17" s="151"/>
      <c r="C17" s="146"/>
      <c r="D17" s="150" t="s">
        <v>125</v>
      </c>
      <c r="E17" s="146">
        <f ca="1">ROUND($C$9*$B$10*Guard,2)</f>
        <v>9.25</v>
      </c>
      <c r="F17" s="150"/>
      <c r="G17" s="139"/>
      <c r="H17" s="139"/>
      <c r="J17" s="155">
        <f ca="1">(SUM(C19:E19)+SUM(G26:G27))*2</f>
        <v>208.68</v>
      </c>
      <c r="K17" s="126" t="s">
        <v>151</v>
      </c>
    </row>
    <row r="18" spans="1:12" ht="14.25" thickBot="1" x14ac:dyDescent="0.25">
      <c r="A18" s="140"/>
      <c r="B18" s="151"/>
      <c r="C18" s="146">
        <f ca="1">IF($B$9&gt;$F$11,ROUND($B$10*$C$9*IV_T,2),0)</f>
        <v>5.78</v>
      </c>
      <c r="D18" s="150" t="s">
        <v>73</v>
      </c>
      <c r="E18" s="146">
        <f ca="1">IF($B$9&gt;$F$11,ROUND($C$9*$B$10*IV_P,2),ROUND($C$9*$B$10*IV_P,2)+ROUND($B$10*$C$9*IV_T,2))</f>
        <v>16.2</v>
      </c>
      <c r="F18" s="150"/>
      <c r="G18" s="139"/>
      <c r="H18" s="139"/>
      <c r="J18" s="213">
        <f ca="1">SUM(J16:J17)</f>
        <v>367.02</v>
      </c>
    </row>
    <row r="19" spans="1:12" ht="14.25" thickTop="1" x14ac:dyDescent="0.2">
      <c r="A19" s="140"/>
      <c r="B19" s="151"/>
      <c r="C19" s="156">
        <f ca="1">IF($B$9&gt;$F$11,ROUND($B$10*$C$9*CesVej_T,2),0)</f>
        <v>10.41</v>
      </c>
      <c r="D19" s="150" t="s">
        <v>56</v>
      </c>
      <c r="E19" s="156">
        <f ca="1">IF($B$9&gt;$F$11,ROUND($C$9*$B$10*CesVej_P,2),ROUND($C$9*$B$10*CesVej_P,2)+ROUND($B$10*$C$9*CesVej_T,2))</f>
        <v>29.15</v>
      </c>
      <c r="F19" s="150"/>
      <c r="G19" s="139"/>
      <c r="H19" s="139"/>
    </row>
    <row r="20" spans="1:12" x14ac:dyDescent="0.2">
      <c r="A20" s="157"/>
      <c r="B20" s="158" t="s">
        <v>91</v>
      </c>
      <c r="C20" s="159">
        <f ca="1">SUM(C12:C19)</f>
        <v>21.97</v>
      </c>
      <c r="D20" s="157"/>
      <c r="E20" s="159">
        <f ca="1">SUM(E12:E19)</f>
        <v>175.92999999999998</v>
      </c>
      <c r="F20" s="158" t="s">
        <v>43</v>
      </c>
      <c r="G20" s="157"/>
      <c r="H20" s="157"/>
      <c r="J20" s="160" t="s">
        <v>76</v>
      </c>
      <c r="K20" s="161">
        <f>B9</f>
        <v>126.49</v>
      </c>
      <c r="L20" s="162" t="s">
        <v>138</v>
      </c>
    </row>
    <row r="21" spans="1:12" x14ac:dyDescent="0.2">
      <c r="A21" s="163" t="s">
        <v>84</v>
      </c>
      <c r="B21" s="164">
        <f ca="1">TODAY()</f>
        <v>42087</v>
      </c>
      <c r="C21" s="165"/>
      <c r="D21" s="164" t="str">
        <f ca="1">DATEDIF(B22,B21,"y")&amp;" Año "&amp;DATEDIF(B22,B21,"ym")&amp;" meses "&amp;DATEDIF(B22,B21,"md")&amp;" días "</f>
        <v xml:space="preserve">0 Año 1 meses 22 días </v>
      </c>
      <c r="E21" s="166"/>
      <c r="F21" s="167" t="s">
        <v>94</v>
      </c>
      <c r="G21" s="167"/>
      <c r="H21" s="167"/>
      <c r="J21" s="168" t="s">
        <v>94</v>
      </c>
      <c r="K21" s="168"/>
      <c r="L21" s="168"/>
    </row>
    <row r="22" spans="1:12" x14ac:dyDescent="0.2">
      <c r="A22" s="163" t="s">
        <v>83</v>
      </c>
      <c r="B22" s="169">
        <v>42034</v>
      </c>
      <c r="C22" s="165" t="s">
        <v>85</v>
      </c>
      <c r="D22" s="170">
        <f ca="1">$B$11-YEAR(B22)-IF(MONTH($B$21)*100+DAY($B$21)&lt;MONTH(B22)*100+DAY(B22),1,0)</f>
        <v>0</v>
      </c>
      <c r="E22" s="166"/>
      <c r="F22" s="171" t="s">
        <v>132</v>
      </c>
      <c r="G22" s="172">
        <f ca="1">ROUND(((B9*F9)*E10)/365*C9,2)</f>
        <v>3.64</v>
      </c>
      <c r="H22" s="166"/>
      <c r="J22" s="171" t="s">
        <v>132</v>
      </c>
      <c r="K22" s="172">
        <f t="shared" ref="K22:K28" ca="1" si="1">G22/$C$9</f>
        <v>0.52</v>
      </c>
      <c r="L22" s="166"/>
    </row>
    <row r="23" spans="1:12" x14ac:dyDescent="0.2">
      <c r="A23" s="163" t="s">
        <v>80</v>
      </c>
      <c r="B23" s="173">
        <f>IF($C$23=TRUE,$B$26/1.11,$B$26)</f>
        <v>885.45842392147495</v>
      </c>
      <c r="C23" s="174" t="b">
        <v>0</v>
      </c>
      <c r="D23" s="175" t="s">
        <v>130</v>
      </c>
      <c r="E23" s="175"/>
      <c r="F23" s="171" t="s">
        <v>131</v>
      </c>
      <c r="G23" s="172">
        <f>ROUND(B9*F10/365*C9,2)</f>
        <v>36.39</v>
      </c>
      <c r="H23" s="166"/>
      <c r="J23" s="176" t="s">
        <v>131</v>
      </c>
      <c r="K23" s="177">
        <f t="shared" si="1"/>
        <v>5.1985714285714284</v>
      </c>
      <c r="L23" s="178"/>
    </row>
    <row r="24" spans="1:12" x14ac:dyDescent="0.2">
      <c r="A24" s="163" t="s">
        <v>81</v>
      </c>
      <c r="B24" s="173">
        <f>IF($C$23=TRUE,IF($B$23*0.11&gt;$B$10*0.1*$C$9,$B$10*0.1*$C$9,$B$9*0.11*$C$9),0)</f>
        <v>0</v>
      </c>
      <c r="C24" s="163"/>
      <c r="D24" s="163"/>
      <c r="E24" s="166"/>
      <c r="F24" s="179" t="s">
        <v>96</v>
      </c>
      <c r="G24" s="172">
        <f ca="1">SUM($E$12:$E$18)</f>
        <v>146.77999999999997</v>
      </c>
      <c r="H24" s="166"/>
      <c r="J24" s="171" t="s">
        <v>96</v>
      </c>
      <c r="K24" s="172">
        <f t="shared" ca="1" si="1"/>
        <v>20.968571428571426</v>
      </c>
      <c r="L24" s="166"/>
    </row>
    <row r="25" spans="1:12" x14ac:dyDescent="0.2">
      <c r="A25" s="163" t="s">
        <v>82</v>
      </c>
      <c r="B25" s="173">
        <f>IF($C$23=TRUE,IF(B23*0.11&gt;B10*0.1*C9,B9*0.11*C9-B24,0),0)</f>
        <v>0</v>
      </c>
      <c r="C25" s="165" t="str">
        <f>IF(SUM(B23:B25)&lt;&gt;B26,"ERROR","BIEN")</f>
        <v>BIEN</v>
      </c>
      <c r="D25" s="163"/>
      <c r="E25" s="166"/>
      <c r="F25" s="171" t="s">
        <v>95</v>
      </c>
      <c r="G25" s="172">
        <f ca="1">$E$19</f>
        <v>29.15</v>
      </c>
      <c r="H25" s="166"/>
      <c r="J25" s="176" t="s">
        <v>95</v>
      </c>
      <c r="K25" s="177">
        <f t="shared" ca="1" si="1"/>
        <v>4.1642857142857137</v>
      </c>
      <c r="L25" s="178"/>
    </row>
    <row r="26" spans="1:12" x14ac:dyDescent="0.2">
      <c r="A26" s="180" t="s">
        <v>76</v>
      </c>
      <c r="B26" s="181">
        <v>885.45842392147495</v>
      </c>
      <c r="C26" s="163" t="str">
        <f>"Sobre "&amp;C9&amp;" días"</f>
        <v>Sobre 7 días</v>
      </c>
      <c r="D26" s="163"/>
      <c r="E26" s="166"/>
      <c r="F26" s="171" t="s">
        <v>97</v>
      </c>
      <c r="G26" s="172">
        <f ca="1">ROUND(IF($B$10&gt;SDI_TOPE,SDI_TOPE*C9*Retiro,$B$10*$C$9*Retiro),2)</f>
        <v>18.510000000000002</v>
      </c>
      <c r="H26" s="166"/>
      <c r="J26" s="171" t="s">
        <v>97</v>
      </c>
      <c r="K26" s="172">
        <f t="shared" ca="1" si="1"/>
        <v>2.6442857142857146</v>
      </c>
      <c r="L26" s="166"/>
    </row>
    <row r="27" spans="1:12" x14ac:dyDescent="0.2">
      <c r="A27" s="163" t="str">
        <f ca="1">IF(C27&lt;0,"Subs. Al Empleo","I.S.R. s/salario")</f>
        <v>Subs. Al Empleo</v>
      </c>
      <c r="B27" s="173">
        <f ca="1">($B$6)+MOD($B$26-SUM($B$28:$B$29)-$B$6,IF($D$24&gt;0,$D$24,0.01))</f>
        <v>-36.511576078525145</v>
      </c>
      <c r="C27" s="182">
        <f ca="1">$B$27/$B$26</f>
        <v>-4.1234658897731709E-2</v>
      </c>
      <c r="D27" s="163" t="str">
        <f ca="1">IF(C27&lt;0,"Subs. Al Empleo","I.S.R. s/salario")</f>
        <v>Subs. Al Empleo</v>
      </c>
      <c r="E27" s="166"/>
      <c r="F27" s="171" t="s">
        <v>98</v>
      </c>
      <c r="G27" s="172">
        <f ca="1">ROUND(IF($B$10&gt;SDI_TOPE,SDI_TOPE*$C$10*PorcINFON,$B$10*$C$9*PorcINFON),2)</f>
        <v>46.27</v>
      </c>
      <c r="H27" s="166"/>
      <c r="J27" s="176" t="s">
        <v>98</v>
      </c>
      <c r="K27" s="177">
        <f t="shared" ca="1" si="1"/>
        <v>6.61</v>
      </c>
      <c r="L27" s="183"/>
    </row>
    <row r="28" spans="1:12" x14ac:dyDescent="0.2">
      <c r="A28" s="163" t="s">
        <v>15</v>
      </c>
      <c r="B28" s="173">
        <f ca="1">SUM($C$13:$C$18)</f>
        <v>11.56</v>
      </c>
      <c r="C28" s="182">
        <f ca="1">$B$28/$B$26</f>
        <v>1.3055384293260927E-2</v>
      </c>
      <c r="D28" s="163" t="s">
        <v>134</v>
      </c>
      <c r="E28" s="184">
        <v>0.02</v>
      </c>
      <c r="F28" s="171" t="s">
        <v>118</v>
      </c>
      <c r="G28" s="172">
        <f>ROUND($B$9*$C$9*$E$28,2)</f>
        <v>17.71</v>
      </c>
      <c r="H28" s="166"/>
      <c r="I28" s="185"/>
      <c r="J28" s="171" t="s">
        <v>118</v>
      </c>
      <c r="K28" s="172">
        <f t="shared" si="1"/>
        <v>2.5300000000000002</v>
      </c>
      <c r="L28" s="166"/>
    </row>
    <row r="29" spans="1:12" x14ac:dyDescent="0.2">
      <c r="A29" s="163" t="s">
        <v>93</v>
      </c>
      <c r="B29" s="173">
        <f ca="1">$C$19</f>
        <v>10.41</v>
      </c>
      <c r="C29" s="182">
        <f ca="1">$B$29/$B$26</f>
        <v>1.1756622014952098E-2</v>
      </c>
      <c r="D29" s="163" t="s">
        <v>135</v>
      </c>
      <c r="E29" s="166"/>
      <c r="F29" s="179"/>
      <c r="G29" s="186" t="str">
        <f ca="1">REPT("-",CELL("ancho",G29)*2)</f>
        <v>--------------------------</v>
      </c>
      <c r="H29" s="166"/>
      <c r="J29" s="187"/>
      <c r="K29" s="188" t="str">
        <f ca="1">REPT("-",CELL("ancho",K29)*2)</f>
        <v>--------------------</v>
      </c>
      <c r="L29" s="178"/>
    </row>
    <row r="30" spans="1:12" x14ac:dyDescent="0.2">
      <c r="A30" s="163"/>
      <c r="B30" s="189" t="str">
        <f ca="1">REPT("-",CELL("ancho",B30)*2)</f>
        <v>--------------------------</v>
      </c>
      <c r="C30" s="190">
        <f ca="1">SUM(B27:B29)</f>
        <v>-14.541576078525143</v>
      </c>
      <c r="D30" s="163" t="s">
        <v>136</v>
      </c>
      <c r="E30" s="191">
        <f ca="1">G30/B26</f>
        <v>0.33705704518371304</v>
      </c>
      <c r="F30" s="171" t="s">
        <v>122</v>
      </c>
      <c r="G30" s="172">
        <f ca="1">SUM($G$22:$G$28)</f>
        <v>298.44999999999993</v>
      </c>
      <c r="H30" s="192" t="s">
        <v>148</v>
      </c>
      <c r="J30" s="171" t="s">
        <v>122</v>
      </c>
      <c r="K30" s="172">
        <f ca="1">SUM($K$22:$K$28)</f>
        <v>42.635714285714279</v>
      </c>
      <c r="L30" s="192" t="s">
        <v>147</v>
      </c>
    </row>
    <row r="31" spans="1:12" x14ac:dyDescent="0.2">
      <c r="A31" s="180" t="s">
        <v>77</v>
      </c>
      <c r="B31" s="193">
        <f ca="1">$B$26-SUM(B27:B29)</f>
        <v>900.00000000000011</v>
      </c>
      <c r="C31" s="194">
        <f ca="1">1-($B$31/$B$26)</f>
        <v>-1.6422652589518805E-2</v>
      </c>
      <c r="D31" s="180" t="s">
        <v>88</v>
      </c>
      <c r="E31" s="166"/>
      <c r="F31" s="166"/>
      <c r="G31" s="195">
        <f ca="1">B26+G30</f>
        <v>1183.9084239214749</v>
      </c>
      <c r="H31" s="166" t="s">
        <v>149</v>
      </c>
      <c r="J31" s="178"/>
      <c r="K31" s="196">
        <f ca="1">K20+K30</f>
        <v>169.12571428571428</v>
      </c>
      <c r="L31" s="178" t="s">
        <v>137</v>
      </c>
    </row>
    <row r="33" spans="1:7" ht="12.75" customHeight="1" x14ac:dyDescent="0.2">
      <c r="A33" s="205">
        <f>B26</f>
        <v>885.45842392147495</v>
      </c>
      <c r="B33" s="209" t="s">
        <v>155</v>
      </c>
      <c r="C33" s="199" t="s">
        <v>91</v>
      </c>
      <c r="D33" s="201" t="s">
        <v>153</v>
      </c>
      <c r="E33" s="201" t="s">
        <v>122</v>
      </c>
      <c r="F33" s="206">
        <f ca="1">(B31/C9)*7</f>
        <v>900.00000000000011</v>
      </c>
      <c r="G33" s="208" t="s">
        <v>159</v>
      </c>
    </row>
    <row r="34" spans="1:7" ht="13.5" customHeight="1" x14ac:dyDescent="0.2">
      <c r="A34" s="214" t="s">
        <v>161</v>
      </c>
      <c r="B34" s="126" t="str">
        <f ca="1">A27</f>
        <v>Subs. Al Empleo</v>
      </c>
      <c r="C34" s="197">
        <f ca="1">B27</f>
        <v>-36.511576078525145</v>
      </c>
      <c r="D34" s="197">
        <v>0</v>
      </c>
      <c r="E34" s="197">
        <f ca="1">SUM(C34:D34)</f>
        <v>-36.511576078525145</v>
      </c>
    </row>
    <row r="35" spans="1:7" ht="13.5" customHeight="1" x14ac:dyDescent="0.2">
      <c r="A35" s="214">
        <f ca="1">B10</f>
        <v>132.20804109589042</v>
      </c>
      <c r="B35" s="126" t="s">
        <v>15</v>
      </c>
      <c r="C35" s="197">
        <f ca="1">B28</f>
        <v>11.56</v>
      </c>
      <c r="D35" s="197">
        <f ca="1">G24</f>
        <v>146.77999999999997</v>
      </c>
      <c r="E35" s="197">
        <f t="shared" ref="E35:E36" ca="1" si="2">SUM(C35:D35)</f>
        <v>158.33999999999997</v>
      </c>
      <c r="F35" s="202" t="str">
        <f>"Con RT de "&amp;TEXT(R_T,"0.00000%")</f>
        <v>Con RT de 0.54355%</v>
      </c>
    </row>
    <row r="36" spans="1:7" ht="12.75" customHeight="1" x14ac:dyDescent="0.2">
      <c r="A36" s="185"/>
      <c r="B36" s="126" t="s">
        <v>160</v>
      </c>
      <c r="C36" s="197">
        <f ca="1">B29</f>
        <v>10.41</v>
      </c>
      <c r="D36" s="197">
        <f ca="1">(E19+G26+G27)</f>
        <v>93.93</v>
      </c>
      <c r="E36" s="197">
        <f t="shared" ca="1" si="2"/>
        <v>104.34</v>
      </c>
      <c r="F36" s="126" t="s">
        <v>154</v>
      </c>
    </row>
    <row r="37" spans="1:7" ht="14.25" thickBot="1" x14ac:dyDescent="0.25">
      <c r="A37" s="206">
        <f ca="1">B31</f>
        <v>900.00000000000011</v>
      </c>
      <c r="B37" s="204" t="s">
        <v>156</v>
      </c>
      <c r="C37" s="198">
        <f ca="1">SUM(C34:C36)</f>
        <v>-14.541576078525143</v>
      </c>
      <c r="D37" s="198">
        <f ca="1">SUM(D34:D36)</f>
        <v>240.70999999999998</v>
      </c>
      <c r="E37" s="198">
        <f ca="1">SUM(E34:E36)</f>
        <v>226.16842392147484</v>
      </c>
    </row>
    <row r="38" spans="1:7" ht="14.25" thickTop="1" x14ac:dyDescent="0.2">
      <c r="A38" s="200"/>
      <c r="C38" s="203"/>
      <c r="D38" s="203"/>
      <c r="E38" s="203"/>
    </row>
    <row r="39" spans="1:7" x14ac:dyDescent="0.2">
      <c r="A39" s="205">
        <v>4362.9275166031175</v>
      </c>
      <c r="B39" s="209" t="s">
        <v>155</v>
      </c>
      <c r="C39" s="199" t="s">
        <v>91</v>
      </c>
      <c r="D39" s="201" t="s">
        <v>153</v>
      </c>
      <c r="E39" s="201" t="s">
        <v>122</v>
      </c>
      <c r="F39" s="206">
        <v>1006.9983552631579</v>
      </c>
      <c r="G39" s="208" t="s">
        <v>159</v>
      </c>
    </row>
    <row r="40" spans="1:7" x14ac:dyDescent="0.2">
      <c r="A40" s="214" t="s">
        <v>161</v>
      </c>
      <c r="B40" s="126" t="s">
        <v>163</v>
      </c>
      <c r="C40" s="197">
        <v>-118.62248339688287</v>
      </c>
      <c r="D40" s="197">
        <v>0</v>
      </c>
      <c r="E40" s="197">
        <v>-118.62248339688287</v>
      </c>
    </row>
    <row r="41" spans="1:7" x14ac:dyDescent="0.2">
      <c r="A41" s="214">
        <v>150.00789041095894</v>
      </c>
      <c r="B41" s="126" t="s">
        <v>15</v>
      </c>
      <c r="C41" s="197">
        <v>57</v>
      </c>
      <c r="D41" s="197">
        <v>664.72</v>
      </c>
      <c r="E41" s="197">
        <v>721.72</v>
      </c>
      <c r="F41" s="202" t="s">
        <v>162</v>
      </c>
    </row>
    <row r="42" spans="1:7" x14ac:dyDescent="0.2">
      <c r="A42" s="185"/>
      <c r="B42" s="126" t="s">
        <v>160</v>
      </c>
      <c r="C42" s="197">
        <v>51.3</v>
      </c>
      <c r="D42" s="197">
        <v>462.86</v>
      </c>
      <c r="E42" s="197">
        <v>514.16</v>
      </c>
      <c r="F42" s="126" t="s">
        <v>154</v>
      </c>
    </row>
    <row r="43" spans="1:7" ht="14.25" thickBot="1" x14ac:dyDescent="0.25">
      <c r="A43" s="206">
        <v>4373.25</v>
      </c>
      <c r="B43" s="204" t="s">
        <v>156</v>
      </c>
      <c r="C43" s="198">
        <v>-10.322483396882873</v>
      </c>
      <c r="D43" s="198">
        <v>1127.58</v>
      </c>
      <c r="E43" s="198">
        <v>1117.257516603117</v>
      </c>
    </row>
    <row r="44" spans="1:7" ht="14.25" thickTop="1" x14ac:dyDescent="0.2"/>
    <row r="45" spans="1:7" x14ac:dyDescent="0.2">
      <c r="A45" s="205"/>
      <c r="B45" s="209"/>
      <c r="C45" s="199"/>
      <c r="D45" s="201"/>
      <c r="E45" s="201"/>
      <c r="F45" s="206"/>
      <c r="G45" s="208"/>
    </row>
    <row r="46" spans="1:7" x14ac:dyDescent="0.2">
      <c r="A46" s="214"/>
      <c r="C46" s="197"/>
      <c r="D46" s="197"/>
      <c r="E46" s="197"/>
    </row>
    <row r="47" spans="1:7" x14ac:dyDescent="0.2">
      <c r="A47" s="214"/>
      <c r="C47" s="197"/>
      <c r="D47" s="197"/>
      <c r="E47" s="197"/>
      <c r="F47" s="202"/>
    </row>
    <row r="48" spans="1:7" x14ac:dyDescent="0.2">
      <c r="A48" s="185"/>
      <c r="C48" s="197"/>
      <c r="D48" s="197"/>
      <c r="E48" s="197"/>
    </row>
    <row r="49" spans="1:5" ht="14.25" thickBot="1" x14ac:dyDescent="0.25">
      <c r="A49" s="206"/>
      <c r="B49" s="204"/>
      <c r="C49" s="198"/>
      <c r="D49" s="198"/>
      <c r="E49" s="198"/>
    </row>
    <row r="50" spans="1:5" ht="14.25" thickTop="1" x14ac:dyDescent="0.2"/>
  </sheetData>
  <sheetProtection formatColumns="0" selectLockedCells="1"/>
  <dataConsolidate/>
  <phoneticPr fontId="4" type="noConversion"/>
  <conditionalFormatting sqref="A1:H7">
    <cfRule type="expression" dxfId="14" priority="29">
      <formula>NOT(MOD(ROW(),2)&lt;1)</formula>
    </cfRule>
  </conditionalFormatting>
  <conditionalFormatting sqref="A8:H20">
    <cfRule type="expression" dxfId="13" priority="27">
      <formula>NOT(MOD(ROW(),2)&lt;1)</formula>
    </cfRule>
  </conditionalFormatting>
  <conditionalFormatting sqref="A21:H31">
    <cfRule type="expression" dxfId="12" priority="26">
      <formula>NOT(MOD(ROW(),2)&lt;1)</formula>
    </cfRule>
  </conditionalFormatting>
  <conditionalFormatting sqref="A33:G37">
    <cfRule type="expression" dxfId="11" priority="23">
      <formula>MOD(ROW(),2)=0</formula>
    </cfRule>
    <cfRule type="expression" dxfId="10" priority="25">
      <formula>MOD(ROW(),2)=1</formula>
    </cfRule>
  </conditionalFormatting>
  <conditionalFormatting sqref="A45:G45 A47:G49 B46:G46">
    <cfRule type="expression" dxfId="9" priority="7">
      <formula>MOD(ROW(),2)=0</formula>
    </cfRule>
    <cfRule type="expression" dxfId="8" priority="8">
      <formula>MOD(ROW(),2)=1</formula>
    </cfRule>
  </conditionalFormatting>
  <conditionalFormatting sqref="A39:G39 A41:G43 B40:G40">
    <cfRule type="expression" dxfId="7" priority="5">
      <formula>MOD(ROW(),2)=0</formula>
    </cfRule>
    <cfRule type="expression" dxfId="6" priority="6">
      <formula>MOD(ROW(),2)=1</formula>
    </cfRule>
  </conditionalFormatting>
  <conditionalFormatting sqref="A40">
    <cfRule type="expression" dxfId="5" priority="3">
      <formula>MOD(ROW(),2)=0</formula>
    </cfRule>
    <cfRule type="expression" dxfId="4" priority="4">
      <formula>MOD(ROW(),2)=1</formula>
    </cfRule>
  </conditionalFormatting>
  <conditionalFormatting sqref="A46">
    <cfRule type="expression" dxfId="3" priority="1">
      <formula>MOD(ROW(),2)=0</formula>
    </cfRule>
    <cfRule type="expression" dxfId="2" priority="2">
      <formula>MOD(ROW(),2)=1</formula>
    </cfRule>
  </conditionalFormatting>
  <dataValidations count="4">
    <dataValidation operator="lessThan" allowBlank="1" showErrorMessage="1" errorTitle="Salario Mímino" error="El Salario es menor al vigente, favor de corregirlo" sqref="D25:D27"/>
    <dataValidation type="list" allowBlank="1" showInputMessage="1" showErrorMessage="1" sqref="B11">
      <formula1>F_Ini</formula1>
    </dataValidation>
    <dataValidation type="list" allowBlank="1" showInputMessage="1" showErrorMessage="1" sqref="C11">
      <formula1>Semestre</formula1>
    </dataValidation>
    <dataValidation type="list" allowBlank="1" showInputMessage="1" showErrorMessage="1" sqref="E11">
      <formula1>Zona</formula1>
    </dataValidation>
  </dataValidations>
  <printOptions horizontalCentered="1" gridLines="1"/>
  <pageMargins left="0.39370078740157483" right="0.31496062992125984" top="0.62992125984251968" bottom="0.51181102362204722" header="0" footer="0"/>
  <pageSetup paperSize="9" scale="92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47625</xdr:colOff>
                    <xdr:row>22</xdr:row>
                    <xdr:rowOff>57150</xdr:rowOff>
                  </from>
                  <to>
                    <xdr:col>3</xdr:col>
                    <xdr:colOff>361950</xdr:colOff>
                    <xdr:row>23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G11"/>
  <sheetViews>
    <sheetView workbookViewId="0">
      <selection activeCell="A2" sqref="A2:A3"/>
    </sheetView>
  </sheetViews>
  <sheetFormatPr baseColWidth="10" defaultColWidth="9" defaultRowHeight="12.75" x14ac:dyDescent="0.2"/>
  <cols>
    <col min="1" max="1" width="21.75" style="70" customWidth="1"/>
    <col min="2" max="2" width="20.5" style="70" customWidth="1"/>
    <col min="3" max="3" width="28.5" style="70" customWidth="1"/>
    <col min="4" max="4" width="11.875" style="70" bestFit="1" customWidth="1"/>
    <col min="5" max="5" width="12.125" style="70" customWidth="1"/>
    <col min="6" max="6" width="12.125" style="70" bestFit="1" customWidth="1"/>
    <col min="7" max="7" width="5" style="70" bestFit="1" customWidth="1"/>
    <col min="8" max="8" width="9" style="70" customWidth="1"/>
    <col min="9" max="9" width="11.875" style="70" customWidth="1"/>
    <col min="10" max="16384" width="9" style="70"/>
  </cols>
  <sheetData>
    <row r="1" spans="1:7" x14ac:dyDescent="0.2">
      <c r="A1" s="69" t="s">
        <v>99</v>
      </c>
      <c r="B1" s="69"/>
      <c r="C1" s="69"/>
      <c r="D1" s="69"/>
      <c r="E1" s="69"/>
      <c r="F1" s="69"/>
    </row>
    <row r="2" spans="1:7" s="75" customFormat="1" x14ac:dyDescent="0.2">
      <c r="A2" s="215" t="s">
        <v>100</v>
      </c>
      <c r="B2" s="215" t="s">
        <v>101</v>
      </c>
      <c r="C2" s="215" t="s">
        <v>102</v>
      </c>
      <c r="D2" s="72"/>
      <c r="E2" s="73"/>
      <c r="F2" s="72"/>
      <c r="G2" s="74"/>
    </row>
    <row r="3" spans="1:7" s="75" customFormat="1" x14ac:dyDescent="0.2">
      <c r="A3" s="215"/>
      <c r="B3" s="215"/>
      <c r="C3" s="215"/>
      <c r="D3" s="71"/>
      <c r="E3" s="71"/>
      <c r="F3" s="72"/>
      <c r="G3" s="74"/>
    </row>
    <row r="4" spans="1:7" x14ac:dyDescent="0.2">
      <c r="A4" s="70" t="s">
        <v>103</v>
      </c>
      <c r="B4" s="70" t="s">
        <v>104</v>
      </c>
      <c r="C4" s="70" t="s">
        <v>105</v>
      </c>
      <c r="D4" s="76"/>
      <c r="E4" s="77"/>
      <c r="F4" s="77"/>
      <c r="G4" s="78"/>
    </row>
    <row r="5" spans="1:7" x14ac:dyDescent="0.2">
      <c r="A5" s="70" t="s">
        <v>106</v>
      </c>
      <c r="B5" s="70" t="s">
        <v>107</v>
      </c>
      <c r="C5" s="70" t="s">
        <v>108</v>
      </c>
      <c r="G5" s="78"/>
    </row>
    <row r="6" spans="1:7" x14ac:dyDescent="0.2">
      <c r="A6" s="70" t="s">
        <v>109</v>
      </c>
      <c r="B6" s="70" t="s">
        <v>110</v>
      </c>
      <c r="D6" s="76"/>
      <c r="E6" s="77"/>
      <c r="F6" s="77"/>
      <c r="G6" s="78"/>
    </row>
    <row r="7" spans="1:7" x14ac:dyDescent="0.2">
      <c r="A7" s="70" t="s">
        <v>111</v>
      </c>
      <c r="B7" s="70" t="s">
        <v>112</v>
      </c>
      <c r="C7" s="70" t="s">
        <v>113</v>
      </c>
      <c r="D7" s="76"/>
      <c r="E7" s="77"/>
      <c r="F7" s="77"/>
      <c r="G7" s="78"/>
    </row>
    <row r="8" spans="1:7" x14ac:dyDescent="0.2">
      <c r="A8" s="70" t="s">
        <v>114</v>
      </c>
      <c r="B8" s="70" t="s">
        <v>107</v>
      </c>
      <c r="D8" s="76"/>
      <c r="E8" s="77"/>
      <c r="F8" s="77"/>
      <c r="G8" s="78"/>
    </row>
    <row r="9" spans="1:7" x14ac:dyDescent="0.2">
      <c r="A9" s="70" t="s">
        <v>115</v>
      </c>
      <c r="B9" s="70" t="s">
        <v>116</v>
      </c>
      <c r="D9" s="76"/>
      <c r="E9" s="77"/>
      <c r="F9" s="77"/>
      <c r="G9" s="78"/>
    </row>
    <row r="11" spans="1:7" x14ac:dyDescent="0.2">
      <c r="F11" s="76"/>
    </row>
  </sheetData>
  <mergeCells count="3">
    <mergeCell ref="A2:A3"/>
    <mergeCell ref="B2:B3"/>
    <mergeCell ref="C2:C3"/>
  </mergeCells>
  <phoneticPr fontId="17" type="noConversion"/>
  <printOptions horizontalCentered="1" gridLines="1"/>
  <pageMargins left="0.74803149606299213" right="0.74803149606299213" top="0.98425196850393704" bottom="0.98425196850393704" header="0.51181102362204722" footer="0.51181102362204722"/>
  <pageSetup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2" tint="-0.499984740745262"/>
  </sheetPr>
  <dimension ref="A1:L18"/>
  <sheetViews>
    <sheetView workbookViewId="0">
      <selection activeCell="J16" sqref="J16"/>
    </sheetView>
  </sheetViews>
  <sheetFormatPr baseColWidth="10" defaultRowHeight="12.75" x14ac:dyDescent="0.2"/>
  <cols>
    <col min="1" max="1" width="11.625" customWidth="1"/>
    <col min="2" max="2" width="11.625" bestFit="1" customWidth="1"/>
    <col min="3" max="3" width="10.625" customWidth="1"/>
    <col min="4" max="4" width="7" customWidth="1"/>
    <col min="5" max="5" width="3.125" customWidth="1"/>
    <col min="6" max="6" width="9.625" customWidth="1"/>
    <col min="7" max="7" width="12.75" bestFit="1" customWidth="1"/>
    <col min="8" max="8" width="8.125" customWidth="1"/>
    <col min="9" max="9" width="5.5" customWidth="1"/>
  </cols>
  <sheetData>
    <row r="1" spans="1:12" x14ac:dyDescent="0.2">
      <c r="A1" s="101" t="s">
        <v>150</v>
      </c>
      <c r="J1" t="s">
        <v>145</v>
      </c>
    </row>
    <row r="2" spans="1:12" x14ac:dyDescent="0.2">
      <c r="A2" s="101" t="s">
        <v>146</v>
      </c>
    </row>
    <row r="3" spans="1:12" ht="15" x14ac:dyDescent="0.25">
      <c r="A3" s="1" t="s">
        <v>4</v>
      </c>
      <c r="G3" s="1" t="s">
        <v>5</v>
      </c>
      <c r="J3" s="84" t="s">
        <v>6</v>
      </c>
      <c r="K3" s="85" t="s">
        <v>6</v>
      </c>
      <c r="L3" s="86" t="s">
        <v>7</v>
      </c>
    </row>
    <row r="4" spans="1:12" ht="15" x14ac:dyDescent="0.25">
      <c r="A4" s="114" t="s">
        <v>6</v>
      </c>
      <c r="B4" s="115" t="s">
        <v>6</v>
      </c>
      <c r="C4" s="115" t="s">
        <v>7</v>
      </c>
      <c r="D4" s="116" t="s">
        <v>8</v>
      </c>
      <c r="E4" s="1"/>
      <c r="F4" s="114" t="s">
        <v>6</v>
      </c>
      <c r="G4" s="115" t="s">
        <v>6</v>
      </c>
      <c r="H4" s="115" t="s">
        <v>7</v>
      </c>
      <c r="J4" s="89" t="s">
        <v>9</v>
      </c>
      <c r="K4" s="90" t="s">
        <v>10</v>
      </c>
      <c r="L4" s="91" t="s">
        <v>11</v>
      </c>
    </row>
    <row r="5" spans="1:12" ht="15" x14ac:dyDescent="0.25">
      <c r="A5" s="117" t="s">
        <v>139</v>
      </c>
      <c r="B5" s="118" t="s">
        <v>140</v>
      </c>
      <c r="C5" s="118" t="s">
        <v>2</v>
      </c>
      <c r="D5" s="119" t="s">
        <v>141</v>
      </c>
      <c r="F5" s="117" t="s">
        <v>9</v>
      </c>
      <c r="G5" s="118" t="s">
        <v>10</v>
      </c>
      <c r="H5" s="118" t="s">
        <v>11</v>
      </c>
      <c r="J5" s="92">
        <v>0.01</v>
      </c>
      <c r="K5" s="93">
        <v>1768.96</v>
      </c>
      <c r="L5" s="94">
        <v>407.02</v>
      </c>
    </row>
    <row r="6" spans="1:12" ht="15" x14ac:dyDescent="0.25">
      <c r="A6" s="105">
        <v>0.01</v>
      </c>
      <c r="B6" s="106">
        <v>496.07</v>
      </c>
      <c r="C6" s="106">
        <v>0</v>
      </c>
      <c r="D6" s="107">
        <v>1.92</v>
      </c>
      <c r="E6" s="2"/>
      <c r="F6" s="105">
        <v>0.01</v>
      </c>
      <c r="G6" s="106">
        <v>1768.96</v>
      </c>
      <c r="H6" s="106">
        <v>407.02</v>
      </c>
      <c r="J6" s="102">
        <v>1768.97</v>
      </c>
      <c r="K6" s="103">
        <v>1978.7</v>
      </c>
      <c r="L6" s="104">
        <v>406.83</v>
      </c>
    </row>
    <row r="7" spans="1:12" ht="15" x14ac:dyDescent="0.25">
      <c r="A7" s="108">
        <v>496.08</v>
      </c>
      <c r="B7" s="109">
        <v>4210.41</v>
      </c>
      <c r="C7" s="109">
        <v>9.52</v>
      </c>
      <c r="D7" s="110">
        <v>6.4</v>
      </c>
      <c r="E7" s="2"/>
      <c r="F7" s="108">
        <v>1768.97</v>
      </c>
      <c r="G7" s="109">
        <v>2653.38</v>
      </c>
      <c r="H7" s="109">
        <v>406.83</v>
      </c>
      <c r="J7" s="95">
        <v>1978.71</v>
      </c>
      <c r="K7" s="96">
        <v>2653.38</v>
      </c>
      <c r="L7" s="97">
        <v>359.84</v>
      </c>
    </row>
    <row r="8" spans="1:12" ht="15" x14ac:dyDescent="0.25">
      <c r="A8" s="108">
        <v>4210.42</v>
      </c>
      <c r="B8" s="109">
        <v>7399.42</v>
      </c>
      <c r="C8" s="109">
        <v>247.24</v>
      </c>
      <c r="D8" s="110">
        <v>10.88</v>
      </c>
      <c r="E8" s="2"/>
      <c r="F8" s="108">
        <v>2653.39</v>
      </c>
      <c r="G8" s="109">
        <v>3472.84</v>
      </c>
      <c r="H8" s="109">
        <v>406.62</v>
      </c>
      <c r="J8" s="95">
        <v>2653.39</v>
      </c>
      <c r="K8" s="96">
        <v>3472.84</v>
      </c>
      <c r="L8" s="97">
        <v>343.6</v>
      </c>
    </row>
    <row r="9" spans="1:12" ht="15" x14ac:dyDescent="0.25">
      <c r="A9" s="108">
        <v>7399.43</v>
      </c>
      <c r="B9" s="109">
        <v>8601.5</v>
      </c>
      <c r="C9" s="109">
        <v>594.21</v>
      </c>
      <c r="D9" s="110">
        <v>16</v>
      </c>
      <c r="E9" s="2"/>
      <c r="F9" s="108">
        <v>3472.85</v>
      </c>
      <c r="G9" s="109">
        <v>3537.87</v>
      </c>
      <c r="H9" s="109">
        <v>392.77</v>
      </c>
      <c r="J9" s="95">
        <v>3472.85</v>
      </c>
      <c r="K9" s="96">
        <v>3537.87</v>
      </c>
      <c r="L9" s="97">
        <v>310.29000000000002</v>
      </c>
    </row>
    <row r="10" spans="1:12" ht="15" x14ac:dyDescent="0.25">
      <c r="A10" s="108">
        <v>8601.51</v>
      </c>
      <c r="B10" s="109">
        <v>10298.35</v>
      </c>
      <c r="C10" s="109">
        <v>786.54</v>
      </c>
      <c r="D10" s="110">
        <v>17.920000000000002</v>
      </c>
      <c r="E10" s="2"/>
      <c r="F10" s="108">
        <v>3537.88</v>
      </c>
      <c r="G10" s="109">
        <v>4446.1499999999996</v>
      </c>
      <c r="H10" s="109">
        <v>382.46</v>
      </c>
      <c r="J10" s="95">
        <v>3537.88</v>
      </c>
      <c r="K10" s="96">
        <v>4446.1499999999996</v>
      </c>
      <c r="L10" s="97">
        <v>298.44</v>
      </c>
    </row>
    <row r="11" spans="1:12" ht="15" x14ac:dyDescent="0.25">
      <c r="A11" s="108">
        <v>10298.36</v>
      </c>
      <c r="B11" s="109">
        <v>20770.29</v>
      </c>
      <c r="C11" s="109">
        <v>1090.6099999999999</v>
      </c>
      <c r="D11" s="110">
        <v>21.36</v>
      </c>
      <c r="E11" s="1"/>
      <c r="F11" s="108">
        <v>4446.16</v>
      </c>
      <c r="G11" s="109">
        <v>4717.18</v>
      </c>
      <c r="H11" s="109">
        <v>354.23</v>
      </c>
      <c r="J11" s="95">
        <v>4446.16</v>
      </c>
      <c r="K11" s="96">
        <v>4717.18</v>
      </c>
      <c r="L11" s="97">
        <v>354.23</v>
      </c>
    </row>
    <row r="12" spans="1:12" ht="15" x14ac:dyDescent="0.25">
      <c r="A12" s="108">
        <v>20770.3</v>
      </c>
      <c r="B12" s="109">
        <v>32736.83</v>
      </c>
      <c r="C12" s="109">
        <v>3327.42</v>
      </c>
      <c r="D12" s="110">
        <v>23.52</v>
      </c>
      <c r="E12" s="1"/>
      <c r="F12" s="108">
        <v>4717.1899999999996</v>
      </c>
      <c r="G12" s="109">
        <v>5335.42</v>
      </c>
      <c r="H12" s="109">
        <v>324.87</v>
      </c>
      <c r="J12" s="95">
        <v>4717.1899999999996</v>
      </c>
      <c r="K12" s="96">
        <v>5335.42</v>
      </c>
      <c r="L12" s="97">
        <v>324.87</v>
      </c>
    </row>
    <row r="13" spans="1:12" ht="15" x14ac:dyDescent="0.25">
      <c r="A13" s="108">
        <v>32736.84</v>
      </c>
      <c r="B13" s="109">
        <v>62500</v>
      </c>
      <c r="C13" s="109">
        <v>6141.95</v>
      </c>
      <c r="D13" s="110">
        <v>30</v>
      </c>
      <c r="E13" s="1"/>
      <c r="F13" s="108">
        <v>5335.43</v>
      </c>
      <c r="G13" s="109">
        <v>6224.67</v>
      </c>
      <c r="H13" s="109">
        <v>294.63</v>
      </c>
      <c r="J13" s="95">
        <v>5335.43</v>
      </c>
      <c r="K13" s="96">
        <v>6224.67</v>
      </c>
      <c r="L13" s="97">
        <v>294.63</v>
      </c>
    </row>
    <row r="14" spans="1:12" ht="15" x14ac:dyDescent="0.25">
      <c r="A14" s="108">
        <v>62500.01</v>
      </c>
      <c r="B14" s="109">
        <v>83333.33</v>
      </c>
      <c r="C14" s="109">
        <v>15070.9</v>
      </c>
      <c r="D14" s="110">
        <v>32</v>
      </c>
      <c r="E14" s="1"/>
      <c r="F14" s="108">
        <v>6224.68</v>
      </c>
      <c r="G14" s="109">
        <v>7113.9</v>
      </c>
      <c r="H14" s="109">
        <v>253.54</v>
      </c>
      <c r="J14" s="95">
        <v>6224.68</v>
      </c>
      <c r="K14" s="96">
        <v>7113.9</v>
      </c>
      <c r="L14" s="97">
        <v>253.54</v>
      </c>
    </row>
    <row r="15" spans="1:12" ht="15" x14ac:dyDescent="0.25">
      <c r="A15" s="108">
        <v>83333.34</v>
      </c>
      <c r="B15" s="109">
        <v>250000</v>
      </c>
      <c r="C15" s="109">
        <v>21737.57</v>
      </c>
      <c r="D15" s="110">
        <v>34</v>
      </c>
      <c r="E15" s="1"/>
      <c r="F15" s="108">
        <v>7113.91</v>
      </c>
      <c r="G15" s="109">
        <v>7382.33</v>
      </c>
      <c r="H15" s="109">
        <v>217.61</v>
      </c>
      <c r="J15" s="95">
        <v>7113.91</v>
      </c>
      <c r="K15" s="96">
        <v>7382.33</v>
      </c>
      <c r="L15" s="97">
        <v>217.61</v>
      </c>
    </row>
    <row r="16" spans="1:12" ht="15" x14ac:dyDescent="0.25">
      <c r="A16" s="111">
        <v>250000.01</v>
      </c>
      <c r="B16" s="112" t="s">
        <v>129</v>
      </c>
      <c r="C16" s="112">
        <v>78404.23</v>
      </c>
      <c r="D16" s="113">
        <v>35</v>
      </c>
      <c r="E16" s="1"/>
      <c r="F16" s="111">
        <v>7382.34</v>
      </c>
      <c r="G16" s="112" t="s">
        <v>129</v>
      </c>
      <c r="H16" s="112">
        <v>0</v>
      </c>
      <c r="J16" s="98">
        <v>7382.34</v>
      </c>
      <c r="K16" s="99" t="s">
        <v>129</v>
      </c>
      <c r="L16" s="100">
        <v>0</v>
      </c>
    </row>
    <row r="18" spans="6:6" x14ac:dyDescent="0.2">
      <c r="F18" s="120"/>
    </row>
  </sheetData>
  <phoneticPr fontId="4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N27"/>
  <sheetViews>
    <sheetView workbookViewId="0">
      <pane xSplit="6" topLeftCell="G1" activePane="topRight" state="frozen"/>
      <selection pane="topRight" activeCell="B9" sqref="B9"/>
    </sheetView>
  </sheetViews>
  <sheetFormatPr baseColWidth="10" defaultColWidth="8" defaultRowHeight="12.75" x14ac:dyDescent="0.2"/>
  <cols>
    <col min="1" max="1" width="18.125" style="67" bestFit="1" customWidth="1"/>
    <col min="2" max="3" width="9.625" style="67" customWidth="1"/>
    <col min="4" max="4" width="7.75" style="34" customWidth="1"/>
    <col min="5" max="5" width="1.625" style="34" customWidth="1"/>
    <col min="6" max="6" width="12.625" style="34" customWidth="1"/>
    <col min="7" max="25" width="10.5" style="34" customWidth="1"/>
    <col min="26" max="26" width="8" style="34" customWidth="1"/>
    <col min="27" max="27" width="10.625" style="34" customWidth="1"/>
    <col min="28" max="28" width="11" style="34" customWidth="1"/>
    <col min="29" max="31" width="8" style="34" customWidth="1"/>
    <col min="32" max="32" width="1.25" style="34" customWidth="1"/>
    <col min="33" max="33" width="4.625" style="34" bestFit="1" customWidth="1"/>
    <col min="34" max="34" width="4.125" style="34" bestFit="1" customWidth="1"/>
    <col min="35" max="35" width="4.625" style="34" bestFit="1" customWidth="1"/>
    <col min="36" max="36" width="4.125" style="34" bestFit="1" customWidth="1"/>
    <col min="37" max="37" width="4.625" style="34" bestFit="1" customWidth="1"/>
    <col min="38" max="38" width="4.125" style="34" bestFit="1" customWidth="1"/>
    <col min="39" max="39" width="4.625" style="34" bestFit="1" customWidth="1"/>
    <col min="40" max="40" width="4.125" style="34" bestFit="1" customWidth="1"/>
    <col min="41" max="41" width="1.75" style="34" customWidth="1"/>
    <col min="42" max="16384" width="8" style="34"/>
  </cols>
  <sheetData>
    <row r="1" spans="1:40" ht="18" x14ac:dyDescent="0.2">
      <c r="A1" s="32">
        <f ca="1">VLOOKUP($A$3,Rng,21)</f>
        <v>25</v>
      </c>
      <c r="B1" s="229">
        <f ca="1">SMGDF*A1</f>
        <v>1752.4999999999998</v>
      </c>
      <c r="C1" s="230"/>
      <c r="D1" s="33"/>
      <c r="F1" s="3" t="s">
        <v>16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16" t="s">
        <v>38</v>
      </c>
      <c r="AD1" s="216"/>
      <c r="AE1" s="216"/>
      <c r="AG1" s="217" t="s">
        <v>39</v>
      </c>
      <c r="AH1" s="218"/>
      <c r="AI1" s="218"/>
      <c r="AJ1" s="218"/>
      <c r="AK1" s="218"/>
      <c r="AL1" s="218"/>
      <c r="AM1" s="218"/>
      <c r="AN1" s="218"/>
    </row>
    <row r="2" spans="1:40" ht="13.5" thickBot="1" x14ac:dyDescent="0.25">
      <c r="A2" s="35">
        <f ca="1">IF(B3=AA5,VLOOKUP($A$3,Rng,22),VLOOKUP($A$3,Rng,23))</f>
        <v>25</v>
      </c>
      <c r="B2" s="231">
        <f ca="1">SMGDF*A2</f>
        <v>1752.4999999999998</v>
      </c>
      <c r="C2" s="232"/>
      <c r="D2" s="36" t="s">
        <v>40</v>
      </c>
      <c r="E2" s="37"/>
      <c r="F2" s="4" t="s">
        <v>17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16"/>
      <c r="AD2" s="216"/>
      <c r="AE2" s="216"/>
      <c r="AG2" s="219"/>
      <c r="AH2" s="218"/>
      <c r="AI2" s="218"/>
      <c r="AJ2" s="218"/>
      <c r="AK2" s="218"/>
      <c r="AL2" s="218"/>
      <c r="AM2" s="218"/>
      <c r="AN2" s="218"/>
    </row>
    <row r="3" spans="1:40" ht="13.5" thickBot="1" x14ac:dyDescent="0.25">
      <c r="A3" s="210">
        <f>Sueldo!B11</f>
        <v>2015</v>
      </c>
      <c r="B3" s="233" t="str">
        <f>Sueldo!C11</f>
        <v>1er Semestre</v>
      </c>
      <c r="C3" s="234"/>
      <c r="D3" s="211" t="str">
        <f>Sueldo!E11</f>
        <v>B</v>
      </c>
      <c r="E3" s="39"/>
      <c r="F3" s="5"/>
      <c r="G3" s="6" t="s">
        <v>18</v>
      </c>
      <c r="H3" s="7"/>
      <c r="I3" s="7"/>
      <c r="J3" s="7"/>
      <c r="K3" s="7"/>
      <c r="L3" s="7"/>
      <c r="M3" s="7"/>
      <c r="N3" s="7"/>
      <c r="O3" s="7"/>
      <c r="P3" s="8"/>
      <c r="Q3" s="9" t="s">
        <v>19</v>
      </c>
      <c r="R3" s="10"/>
      <c r="S3" s="11"/>
      <c r="T3" s="12"/>
      <c r="U3" s="12"/>
      <c r="V3" s="13"/>
      <c r="W3" s="226"/>
      <c r="X3" s="227"/>
      <c r="Y3" s="228"/>
      <c r="Z3" s="14"/>
      <c r="AA3" s="15"/>
      <c r="AB3" s="16"/>
      <c r="AC3" s="220" t="s">
        <v>40</v>
      </c>
      <c r="AD3" s="221"/>
      <c r="AE3" s="221"/>
      <c r="AG3" s="40"/>
      <c r="AH3" s="19"/>
      <c r="AI3" s="20"/>
      <c r="AJ3" s="19"/>
      <c r="AK3" s="20"/>
      <c r="AL3" s="19"/>
      <c r="AM3" s="20"/>
      <c r="AN3" s="19"/>
    </row>
    <row r="4" spans="1:40" ht="34.5" customHeight="1" thickBot="1" x14ac:dyDescent="0.25">
      <c r="A4" s="41" t="s">
        <v>42</v>
      </c>
      <c r="B4" s="42" t="s">
        <v>43</v>
      </c>
      <c r="C4" s="42" t="s">
        <v>44</v>
      </c>
      <c r="D4" s="43"/>
      <c r="F4" s="17" t="s">
        <v>20</v>
      </c>
      <c r="G4" s="18" t="s">
        <v>21</v>
      </c>
      <c r="H4" s="238" t="s">
        <v>22</v>
      </c>
      <c r="I4" s="239"/>
      <c r="J4" s="240"/>
      <c r="K4" s="243" t="s">
        <v>23</v>
      </c>
      <c r="L4" s="244"/>
      <c r="M4" s="245"/>
      <c r="N4" s="238" t="s">
        <v>24</v>
      </c>
      <c r="O4" s="239"/>
      <c r="P4" s="240"/>
      <c r="Q4" s="235" t="s">
        <v>25</v>
      </c>
      <c r="R4" s="221"/>
      <c r="S4" s="237"/>
      <c r="T4" s="20" t="s">
        <v>26</v>
      </c>
      <c r="U4" s="20" t="s">
        <v>27</v>
      </c>
      <c r="V4" s="19" t="s">
        <v>28</v>
      </c>
      <c r="W4" s="235" t="s">
        <v>29</v>
      </c>
      <c r="X4" s="221"/>
      <c r="Y4" s="237"/>
      <c r="Z4" s="235" t="s">
        <v>30</v>
      </c>
      <c r="AA4" s="221"/>
      <c r="AB4" s="236"/>
      <c r="AC4" s="222"/>
      <c r="AD4" s="223"/>
      <c r="AE4" s="223"/>
      <c r="AG4" s="44" t="s">
        <v>45</v>
      </c>
      <c r="AH4" s="19" t="s">
        <v>46</v>
      </c>
      <c r="AI4" s="45" t="s">
        <v>45</v>
      </c>
      <c r="AJ4" s="19" t="s">
        <v>46</v>
      </c>
      <c r="AK4" s="45" t="s">
        <v>45</v>
      </c>
      <c r="AL4" s="19" t="s">
        <v>46</v>
      </c>
      <c r="AM4" s="45" t="s">
        <v>45</v>
      </c>
      <c r="AN4" s="19" t="s">
        <v>46</v>
      </c>
    </row>
    <row r="5" spans="1:40" ht="13.5" customHeight="1" thickBot="1" x14ac:dyDescent="0.25">
      <c r="A5" s="46" t="s">
        <v>47</v>
      </c>
      <c r="B5" s="47">
        <f ca="1">VLOOKUP($A$3,Rng,2)/100</f>
        <v>0.20399999999999999</v>
      </c>
      <c r="C5" s="48"/>
      <c r="D5" s="49">
        <f t="shared" ref="D5:D14" ca="1" si="0">C5+B5</f>
        <v>0.20399999999999999</v>
      </c>
      <c r="F5" s="21"/>
      <c r="G5" s="22" t="s">
        <v>31</v>
      </c>
      <c r="H5" s="23" t="s">
        <v>31</v>
      </c>
      <c r="I5" s="23" t="s">
        <v>32</v>
      </c>
      <c r="J5" s="23" t="s">
        <v>33</v>
      </c>
      <c r="K5" s="23" t="s">
        <v>31</v>
      </c>
      <c r="L5" s="23" t="s">
        <v>32</v>
      </c>
      <c r="M5" s="23" t="s">
        <v>33</v>
      </c>
      <c r="N5" s="23" t="s">
        <v>31</v>
      </c>
      <c r="O5" s="23" t="s">
        <v>32</v>
      </c>
      <c r="P5" s="23" t="s">
        <v>33</v>
      </c>
      <c r="Q5" s="23" t="s">
        <v>31</v>
      </c>
      <c r="R5" s="23" t="s">
        <v>32</v>
      </c>
      <c r="S5" s="23" t="s">
        <v>33</v>
      </c>
      <c r="T5" s="23" t="s">
        <v>31</v>
      </c>
      <c r="U5" s="23" t="s">
        <v>31</v>
      </c>
      <c r="V5" s="23" t="s">
        <v>31</v>
      </c>
      <c r="W5" s="23" t="s">
        <v>31</v>
      </c>
      <c r="X5" s="23" t="s">
        <v>32</v>
      </c>
      <c r="Y5" s="23" t="s">
        <v>33</v>
      </c>
      <c r="Z5" s="23" t="s">
        <v>34</v>
      </c>
      <c r="AA5" s="23" t="s">
        <v>35</v>
      </c>
      <c r="AB5" s="24" t="s">
        <v>36</v>
      </c>
      <c r="AC5" s="50" t="s">
        <v>48</v>
      </c>
      <c r="AD5" s="51" t="s">
        <v>49</v>
      </c>
      <c r="AE5" s="52" t="s">
        <v>41</v>
      </c>
      <c r="AG5" s="53">
        <v>1</v>
      </c>
      <c r="AH5" s="54">
        <v>6</v>
      </c>
      <c r="AI5" s="53">
        <v>14</v>
      </c>
      <c r="AJ5" s="54">
        <v>16</v>
      </c>
      <c r="AK5" s="53">
        <v>27</v>
      </c>
      <c r="AL5" s="54">
        <v>22</v>
      </c>
      <c r="AM5" s="53">
        <v>40</v>
      </c>
      <c r="AN5" s="54">
        <v>28</v>
      </c>
    </row>
    <row r="6" spans="1:40" ht="13.5" thickBot="1" x14ac:dyDescent="0.25">
      <c r="A6" s="46" t="s">
        <v>50</v>
      </c>
      <c r="B6" s="47">
        <f ca="1">VLOOKUP($A$3,Rng,3)/100</f>
        <v>1.1000000000000001E-2</v>
      </c>
      <c r="C6" s="47">
        <f ca="1">VLOOKUP($A$3,Rng,4)/100</f>
        <v>4.0000000000000001E-3</v>
      </c>
      <c r="D6" s="49">
        <f t="shared" ca="1" si="0"/>
        <v>1.5000000000000001E-2</v>
      </c>
      <c r="F6" s="25" t="s">
        <v>37</v>
      </c>
      <c r="G6" s="26">
        <v>13.9</v>
      </c>
      <c r="H6" s="26">
        <v>6</v>
      </c>
      <c r="I6" s="26">
        <v>2</v>
      </c>
      <c r="J6" s="26">
        <v>8</v>
      </c>
      <c r="K6" s="26">
        <v>0.7</v>
      </c>
      <c r="L6" s="26">
        <v>0.25</v>
      </c>
      <c r="M6" s="26">
        <v>0.95</v>
      </c>
      <c r="N6" s="26">
        <v>1.05</v>
      </c>
      <c r="O6" s="27">
        <v>0.375</v>
      </c>
      <c r="P6" s="88">
        <f t="shared" ref="P6:P24" si="1">SUM(N6:O6)</f>
        <v>1.425</v>
      </c>
      <c r="Q6" s="27">
        <v>1.75</v>
      </c>
      <c r="R6" s="27">
        <v>0.625</v>
      </c>
      <c r="S6" s="27">
        <f t="shared" ref="S6:S17" si="2">SUM(Q6:R6)</f>
        <v>2.375</v>
      </c>
      <c r="T6" s="27">
        <v>1</v>
      </c>
      <c r="U6" s="27">
        <v>2</v>
      </c>
      <c r="V6" s="27">
        <v>5</v>
      </c>
      <c r="W6" s="27">
        <v>3.15</v>
      </c>
      <c r="X6" s="27">
        <v>1.125</v>
      </c>
      <c r="Y6" s="28">
        <f t="shared" ref="Y6:Y19" si="3">SUM(W6:X6)</f>
        <v>4.2750000000000004</v>
      </c>
      <c r="Z6" s="28">
        <v>25</v>
      </c>
      <c r="AA6" s="28"/>
      <c r="AB6" s="29">
        <v>15</v>
      </c>
      <c r="AC6" s="55">
        <v>26.45</v>
      </c>
      <c r="AD6" s="55">
        <v>24.5</v>
      </c>
      <c r="AE6" s="82">
        <v>22.5</v>
      </c>
      <c r="AG6" s="53">
        <v>2</v>
      </c>
      <c r="AH6" s="54">
        <v>8</v>
      </c>
      <c r="AI6" s="53">
        <v>15</v>
      </c>
      <c r="AJ6" s="54">
        <v>18</v>
      </c>
      <c r="AK6" s="53">
        <v>28</v>
      </c>
      <c r="AL6" s="54">
        <v>22</v>
      </c>
      <c r="AM6" s="53">
        <v>41</v>
      </c>
      <c r="AN6" s="54">
        <v>28</v>
      </c>
    </row>
    <row r="7" spans="1:40" ht="13.5" thickBot="1" x14ac:dyDescent="0.25">
      <c r="A7" s="46" t="s">
        <v>51</v>
      </c>
      <c r="B7" s="47">
        <f ca="1">VLOOKUP($A$3,Rng,6)/100</f>
        <v>6.9999999999999993E-3</v>
      </c>
      <c r="C7" s="47">
        <f ca="1">VLOOKUP($A$3,Rng,7)/100</f>
        <v>2.5000000000000001E-3</v>
      </c>
      <c r="D7" s="49">
        <f t="shared" ca="1" si="0"/>
        <v>9.4999999999999998E-3</v>
      </c>
      <c r="F7" s="30">
        <v>1998</v>
      </c>
      <c r="G7" s="26">
        <v>13.9</v>
      </c>
      <c r="H7" s="26">
        <v>6</v>
      </c>
      <c r="I7" s="26">
        <v>2</v>
      </c>
      <c r="J7" s="26">
        <v>8</v>
      </c>
      <c r="K7" s="26">
        <v>0.7</v>
      </c>
      <c r="L7" s="26">
        <v>0.25</v>
      </c>
      <c r="M7" s="26">
        <v>0.95</v>
      </c>
      <c r="N7" s="26">
        <v>1.05</v>
      </c>
      <c r="O7" s="27">
        <v>0.375</v>
      </c>
      <c r="P7" s="88">
        <f t="shared" si="1"/>
        <v>1.425</v>
      </c>
      <c r="Q7" s="27">
        <v>1.75</v>
      </c>
      <c r="R7" s="27">
        <v>0.625</v>
      </c>
      <c r="S7" s="27">
        <f t="shared" si="2"/>
        <v>2.375</v>
      </c>
      <c r="T7" s="27">
        <v>1</v>
      </c>
      <c r="U7" s="27">
        <v>2</v>
      </c>
      <c r="V7" s="27">
        <v>5</v>
      </c>
      <c r="W7" s="27">
        <v>3.15</v>
      </c>
      <c r="X7" s="27">
        <v>1.125</v>
      </c>
      <c r="Y7" s="28">
        <f t="shared" si="3"/>
        <v>4.2750000000000004</v>
      </c>
      <c r="Z7" s="28">
        <v>25</v>
      </c>
      <c r="AA7" s="28">
        <v>15</v>
      </c>
      <c r="AB7" s="29">
        <v>16</v>
      </c>
      <c r="AC7" s="55">
        <v>30.2</v>
      </c>
      <c r="AD7" s="55">
        <v>28</v>
      </c>
      <c r="AE7" s="83">
        <v>26.05</v>
      </c>
      <c r="AG7" s="53">
        <v>3</v>
      </c>
      <c r="AH7" s="54">
        <v>10</v>
      </c>
      <c r="AI7" s="53">
        <v>16</v>
      </c>
      <c r="AJ7" s="54">
        <v>18</v>
      </c>
      <c r="AK7" s="53">
        <v>29</v>
      </c>
      <c r="AL7" s="54">
        <v>22</v>
      </c>
      <c r="AM7" s="53">
        <v>42</v>
      </c>
      <c r="AN7" s="54">
        <v>28</v>
      </c>
    </row>
    <row r="8" spans="1:40" ht="13.5" thickBot="1" x14ac:dyDescent="0.25">
      <c r="A8" s="46" t="s">
        <v>52</v>
      </c>
      <c r="B8" s="47">
        <f ca="1">VLOOKUP($A$3,Rng,9)/100</f>
        <v>1.0500000000000001E-2</v>
      </c>
      <c r="C8" s="47">
        <f ca="1">VLOOKUP($A$3,Rng,10)/100</f>
        <v>3.7499999999999999E-3</v>
      </c>
      <c r="D8" s="49">
        <f t="shared" ca="1" si="0"/>
        <v>1.4250000000000001E-2</v>
      </c>
      <c r="F8" s="30">
        <v>1999</v>
      </c>
      <c r="G8" s="31">
        <v>14.55</v>
      </c>
      <c r="H8" s="31">
        <v>5.51</v>
      </c>
      <c r="I8" s="31">
        <v>1.84</v>
      </c>
      <c r="J8" s="31">
        <v>7.35</v>
      </c>
      <c r="K8" s="31">
        <v>0.7</v>
      </c>
      <c r="L8" s="31">
        <v>0.25</v>
      </c>
      <c r="M8" s="31">
        <v>0.95</v>
      </c>
      <c r="N8" s="31">
        <v>1.05</v>
      </c>
      <c r="O8" s="28">
        <v>0.375</v>
      </c>
      <c r="P8" s="88">
        <f t="shared" si="1"/>
        <v>1.425</v>
      </c>
      <c r="Q8" s="28">
        <v>1.75</v>
      </c>
      <c r="R8" s="28">
        <v>0.625</v>
      </c>
      <c r="S8" s="28">
        <f t="shared" si="2"/>
        <v>2.375</v>
      </c>
      <c r="T8" s="28">
        <v>1</v>
      </c>
      <c r="U8" s="28">
        <v>2</v>
      </c>
      <c r="V8" s="27">
        <v>5</v>
      </c>
      <c r="W8" s="28">
        <v>3.15</v>
      </c>
      <c r="X8" s="28">
        <v>1.125</v>
      </c>
      <c r="Y8" s="28">
        <f t="shared" si="3"/>
        <v>4.2750000000000004</v>
      </c>
      <c r="Z8" s="28">
        <v>25</v>
      </c>
      <c r="AA8" s="28">
        <v>16</v>
      </c>
      <c r="AB8" s="29">
        <v>17</v>
      </c>
      <c r="AC8" s="55">
        <v>34.450000000000003</v>
      </c>
      <c r="AD8" s="55">
        <v>31.9</v>
      </c>
      <c r="AE8" s="83">
        <v>29.7</v>
      </c>
      <c r="AG8" s="53">
        <v>4</v>
      </c>
      <c r="AH8" s="54">
        <v>12</v>
      </c>
      <c r="AI8" s="53">
        <v>17</v>
      </c>
      <c r="AJ8" s="54">
        <v>18</v>
      </c>
      <c r="AK8" s="53">
        <v>30</v>
      </c>
      <c r="AL8" s="54">
        <v>24</v>
      </c>
      <c r="AM8" s="53">
        <v>43</v>
      </c>
      <c r="AN8" s="54">
        <v>28</v>
      </c>
    </row>
    <row r="9" spans="1:40" ht="13.5" thickBot="1" x14ac:dyDescent="0.25">
      <c r="A9" s="46" t="s">
        <v>53</v>
      </c>
      <c r="B9" s="212">
        <v>5.4355000000000002E-3</v>
      </c>
      <c r="C9" s="48"/>
      <c r="D9" s="49">
        <f>R_T</f>
        <v>5.4355000000000002E-3</v>
      </c>
      <c r="F9" s="30">
        <v>2000</v>
      </c>
      <c r="G9" s="31">
        <v>15.2</v>
      </c>
      <c r="H9" s="31">
        <v>5.0199999999999996</v>
      </c>
      <c r="I9" s="31">
        <v>1.68</v>
      </c>
      <c r="J9" s="31">
        <v>6.7</v>
      </c>
      <c r="K9" s="31">
        <v>0.7</v>
      </c>
      <c r="L9" s="31">
        <v>0.25</v>
      </c>
      <c r="M9" s="31">
        <v>0.95</v>
      </c>
      <c r="N9" s="31">
        <v>1.05</v>
      </c>
      <c r="O9" s="28">
        <v>0.375</v>
      </c>
      <c r="P9" s="88">
        <f t="shared" si="1"/>
        <v>1.425</v>
      </c>
      <c r="Q9" s="28">
        <v>1.75</v>
      </c>
      <c r="R9" s="28">
        <v>0.625</v>
      </c>
      <c r="S9" s="28">
        <f t="shared" si="2"/>
        <v>2.375</v>
      </c>
      <c r="T9" s="28">
        <v>1</v>
      </c>
      <c r="U9" s="28">
        <v>2</v>
      </c>
      <c r="V9" s="27">
        <v>5</v>
      </c>
      <c r="W9" s="28">
        <v>3.15</v>
      </c>
      <c r="X9" s="28">
        <v>1.125</v>
      </c>
      <c r="Y9" s="28">
        <f t="shared" si="3"/>
        <v>4.2750000000000004</v>
      </c>
      <c r="Z9" s="28">
        <v>25</v>
      </c>
      <c r="AA9" s="28">
        <v>17</v>
      </c>
      <c r="AB9" s="29">
        <v>18</v>
      </c>
      <c r="AC9" s="55">
        <v>37.9</v>
      </c>
      <c r="AD9" s="55">
        <v>35.1</v>
      </c>
      <c r="AE9" s="83">
        <v>32.700000000000003</v>
      </c>
      <c r="AG9" s="53">
        <v>5</v>
      </c>
      <c r="AH9" s="54">
        <v>14</v>
      </c>
      <c r="AI9" s="53">
        <v>18</v>
      </c>
      <c r="AJ9" s="54">
        <v>18</v>
      </c>
      <c r="AK9" s="53">
        <v>31</v>
      </c>
      <c r="AL9" s="54">
        <v>24</v>
      </c>
      <c r="AM9" s="53">
        <v>44</v>
      </c>
      <c r="AN9" s="54">
        <v>28</v>
      </c>
    </row>
    <row r="10" spans="1:40" ht="13.5" thickBot="1" x14ac:dyDescent="0.25">
      <c r="A10" s="46" t="s">
        <v>54</v>
      </c>
      <c r="B10" s="47">
        <f ca="1">VLOOKUP($A$3,Rng,12)/100</f>
        <v>1.7500000000000002E-2</v>
      </c>
      <c r="C10" s="47">
        <f ca="1">VLOOKUP($A$3,Rng,13)/100</f>
        <v>6.2500000000000003E-3</v>
      </c>
      <c r="D10" s="49">
        <f t="shared" ca="1" si="0"/>
        <v>2.375E-2</v>
      </c>
      <c r="F10" s="30">
        <v>2001</v>
      </c>
      <c r="G10" s="31">
        <v>15.85</v>
      </c>
      <c r="H10" s="31">
        <v>4.53</v>
      </c>
      <c r="I10" s="31">
        <v>1.52</v>
      </c>
      <c r="J10" s="31">
        <v>6.05</v>
      </c>
      <c r="K10" s="31">
        <v>0.7</v>
      </c>
      <c r="L10" s="31">
        <v>0.25</v>
      </c>
      <c r="M10" s="31">
        <v>0.95</v>
      </c>
      <c r="N10" s="31">
        <v>1.05</v>
      </c>
      <c r="O10" s="28">
        <v>0.375</v>
      </c>
      <c r="P10" s="88">
        <f t="shared" si="1"/>
        <v>1.425</v>
      </c>
      <c r="Q10" s="28">
        <v>1.75</v>
      </c>
      <c r="R10" s="28">
        <v>0.625</v>
      </c>
      <c r="S10" s="28">
        <f t="shared" si="2"/>
        <v>2.375</v>
      </c>
      <c r="T10" s="28">
        <v>1</v>
      </c>
      <c r="U10" s="28">
        <v>2</v>
      </c>
      <c r="V10" s="27">
        <v>5</v>
      </c>
      <c r="W10" s="28">
        <v>3.15</v>
      </c>
      <c r="X10" s="28">
        <v>1.125</v>
      </c>
      <c r="Y10" s="28">
        <f t="shared" si="3"/>
        <v>4.2750000000000004</v>
      </c>
      <c r="Z10" s="28">
        <v>25</v>
      </c>
      <c r="AA10" s="28">
        <v>18</v>
      </c>
      <c r="AB10" s="29">
        <v>19</v>
      </c>
      <c r="AC10" s="55">
        <v>40.35</v>
      </c>
      <c r="AD10" s="55">
        <v>37.950000000000003</v>
      </c>
      <c r="AE10" s="83">
        <v>35.85</v>
      </c>
      <c r="AG10" s="53">
        <v>6</v>
      </c>
      <c r="AH10" s="54">
        <v>14</v>
      </c>
      <c r="AI10" s="53">
        <v>19</v>
      </c>
      <c r="AJ10" s="54">
        <v>18</v>
      </c>
      <c r="AK10" s="53">
        <v>32</v>
      </c>
      <c r="AL10" s="54">
        <v>24</v>
      </c>
      <c r="AM10" s="53">
        <v>45</v>
      </c>
      <c r="AN10" s="54">
        <v>30</v>
      </c>
    </row>
    <row r="11" spans="1:40" ht="13.5" thickBot="1" x14ac:dyDescent="0.25">
      <c r="A11" s="46" t="s">
        <v>55</v>
      </c>
      <c r="B11" s="47">
        <f ca="1">VLOOKUP($A$3,Rng,15)/100</f>
        <v>0.01</v>
      </c>
      <c r="C11" s="48"/>
      <c r="D11" s="49">
        <f t="shared" ca="1" si="0"/>
        <v>0.01</v>
      </c>
      <c r="F11" s="30">
        <v>2002</v>
      </c>
      <c r="G11" s="31">
        <v>16.5</v>
      </c>
      <c r="H11" s="31">
        <v>4.04</v>
      </c>
      <c r="I11" s="31">
        <v>1.36</v>
      </c>
      <c r="J11" s="31">
        <v>5.4</v>
      </c>
      <c r="K11" s="31">
        <v>0.7</v>
      </c>
      <c r="L11" s="31">
        <v>0.25</v>
      </c>
      <c r="M11" s="31">
        <v>0.95</v>
      </c>
      <c r="N11" s="31">
        <v>1.05</v>
      </c>
      <c r="O11" s="28">
        <v>0.375</v>
      </c>
      <c r="P11" s="88">
        <f t="shared" si="1"/>
        <v>1.425</v>
      </c>
      <c r="Q11" s="28">
        <v>1.75</v>
      </c>
      <c r="R11" s="28">
        <v>0.625</v>
      </c>
      <c r="S11" s="28">
        <f t="shared" si="2"/>
        <v>2.375</v>
      </c>
      <c r="T11" s="28">
        <v>1</v>
      </c>
      <c r="U11" s="28">
        <v>2</v>
      </c>
      <c r="V11" s="27">
        <v>5</v>
      </c>
      <c r="W11" s="28">
        <v>3.15</v>
      </c>
      <c r="X11" s="28">
        <v>1.125</v>
      </c>
      <c r="Y11" s="28">
        <f t="shared" si="3"/>
        <v>4.2750000000000004</v>
      </c>
      <c r="Z11" s="28">
        <v>25</v>
      </c>
      <c r="AA11" s="28">
        <v>19</v>
      </c>
      <c r="AB11" s="29">
        <v>20</v>
      </c>
      <c r="AC11" s="55">
        <v>42.15</v>
      </c>
      <c r="AD11" s="55">
        <v>40.1</v>
      </c>
      <c r="AE11" s="83">
        <v>38.299999999999997</v>
      </c>
      <c r="AG11" s="53">
        <v>7</v>
      </c>
      <c r="AH11" s="54">
        <v>14</v>
      </c>
      <c r="AI11" s="53">
        <v>20</v>
      </c>
      <c r="AJ11" s="54">
        <v>20</v>
      </c>
      <c r="AK11" s="53">
        <v>33</v>
      </c>
      <c r="AL11" s="54">
        <v>24</v>
      </c>
      <c r="AM11" s="53">
        <v>46</v>
      </c>
      <c r="AN11" s="54">
        <v>30</v>
      </c>
    </row>
    <row r="12" spans="1:40" ht="13.5" thickBot="1" x14ac:dyDescent="0.25">
      <c r="A12" s="46" t="s">
        <v>56</v>
      </c>
      <c r="B12" s="47">
        <f ca="1">VLOOKUP($A$3,Rng,18)/100</f>
        <v>3.15E-2</v>
      </c>
      <c r="C12" s="47">
        <f ca="1">VLOOKUP($A$3,Rng,19)/100</f>
        <v>1.125E-2</v>
      </c>
      <c r="D12" s="49">
        <f t="shared" ca="1" si="0"/>
        <v>4.2749999999999996E-2</v>
      </c>
      <c r="F12" s="30">
        <v>2003</v>
      </c>
      <c r="G12" s="31">
        <v>17.149999999999999</v>
      </c>
      <c r="H12" s="31">
        <v>3.55</v>
      </c>
      <c r="I12" s="31">
        <v>1.2</v>
      </c>
      <c r="J12" s="31">
        <v>4.75</v>
      </c>
      <c r="K12" s="31">
        <v>0.7</v>
      </c>
      <c r="L12" s="31">
        <v>0.25</v>
      </c>
      <c r="M12" s="31">
        <v>0.95</v>
      </c>
      <c r="N12" s="31">
        <v>1.05</v>
      </c>
      <c r="O12" s="28">
        <v>0.375</v>
      </c>
      <c r="P12" s="88">
        <f t="shared" si="1"/>
        <v>1.425</v>
      </c>
      <c r="Q12" s="28">
        <v>1.75</v>
      </c>
      <c r="R12" s="28">
        <v>0.625</v>
      </c>
      <c r="S12" s="28">
        <f t="shared" si="2"/>
        <v>2.375</v>
      </c>
      <c r="T12" s="28">
        <v>1</v>
      </c>
      <c r="U12" s="28">
        <v>2</v>
      </c>
      <c r="V12" s="27">
        <v>5</v>
      </c>
      <c r="W12" s="28">
        <v>3.15</v>
      </c>
      <c r="X12" s="28">
        <v>1.125</v>
      </c>
      <c r="Y12" s="28">
        <f t="shared" si="3"/>
        <v>4.2750000000000004</v>
      </c>
      <c r="Z12" s="28">
        <v>25</v>
      </c>
      <c r="AA12" s="28">
        <v>20</v>
      </c>
      <c r="AB12" s="29">
        <v>21</v>
      </c>
      <c r="AC12" s="55">
        <v>43.65</v>
      </c>
      <c r="AD12" s="55">
        <v>41.84</v>
      </c>
      <c r="AE12" s="83">
        <v>40.29</v>
      </c>
      <c r="AG12" s="53">
        <v>8</v>
      </c>
      <c r="AH12" s="54">
        <v>14</v>
      </c>
      <c r="AI12" s="53">
        <v>21</v>
      </c>
      <c r="AJ12" s="54">
        <v>20</v>
      </c>
      <c r="AK12" s="53">
        <v>34</v>
      </c>
      <c r="AL12" s="54">
        <v>24</v>
      </c>
      <c r="AM12" s="53">
        <v>47</v>
      </c>
      <c r="AN12" s="54">
        <v>30</v>
      </c>
    </row>
    <row r="13" spans="1:40" ht="13.5" thickBot="1" x14ac:dyDescent="0.25">
      <c r="A13" s="46" t="s">
        <v>28</v>
      </c>
      <c r="B13" s="47">
        <f ca="1">VLOOKUP($A$3,Rng,17)/100</f>
        <v>0.05</v>
      </c>
      <c r="C13" s="48"/>
      <c r="D13" s="49">
        <f t="shared" ca="1" si="0"/>
        <v>0.05</v>
      </c>
      <c r="F13" s="30">
        <v>2004</v>
      </c>
      <c r="G13" s="31">
        <v>17.8</v>
      </c>
      <c r="H13" s="31">
        <v>3.06</v>
      </c>
      <c r="I13" s="31">
        <v>1.04</v>
      </c>
      <c r="J13" s="31">
        <v>4.0999999999999996</v>
      </c>
      <c r="K13" s="31">
        <v>0.7</v>
      </c>
      <c r="L13" s="31">
        <v>0.25</v>
      </c>
      <c r="M13" s="31">
        <v>0.95</v>
      </c>
      <c r="N13" s="31">
        <v>1.05</v>
      </c>
      <c r="O13" s="28">
        <v>0.375</v>
      </c>
      <c r="P13" s="88">
        <f t="shared" si="1"/>
        <v>1.425</v>
      </c>
      <c r="Q13" s="28">
        <v>1.75</v>
      </c>
      <c r="R13" s="28">
        <v>0.625</v>
      </c>
      <c r="S13" s="28">
        <f t="shared" si="2"/>
        <v>2.375</v>
      </c>
      <c r="T13" s="28">
        <v>1</v>
      </c>
      <c r="U13" s="28">
        <v>2</v>
      </c>
      <c r="V13" s="27">
        <v>5</v>
      </c>
      <c r="W13" s="28">
        <v>3.15</v>
      </c>
      <c r="X13" s="28">
        <v>1.125</v>
      </c>
      <c r="Y13" s="28">
        <f t="shared" si="3"/>
        <v>4.2750000000000004</v>
      </c>
      <c r="Z13" s="28">
        <v>25</v>
      </c>
      <c r="AA13" s="28">
        <v>21</v>
      </c>
      <c r="AB13" s="29">
        <v>22</v>
      </c>
      <c r="AC13" s="55">
        <v>45.24</v>
      </c>
      <c r="AD13" s="55">
        <v>43.73</v>
      </c>
      <c r="AE13" s="83">
        <v>42.11</v>
      </c>
      <c r="AG13" s="53">
        <v>9</v>
      </c>
      <c r="AH13" s="54">
        <v>14</v>
      </c>
      <c r="AI13" s="53">
        <v>22</v>
      </c>
      <c r="AJ13" s="54">
        <v>20</v>
      </c>
      <c r="AK13" s="53">
        <v>35</v>
      </c>
      <c r="AL13" s="54">
        <v>26</v>
      </c>
      <c r="AM13" s="53">
        <v>48</v>
      </c>
      <c r="AN13" s="54">
        <v>30</v>
      </c>
    </row>
    <row r="14" spans="1:40" ht="13.5" thickBot="1" x14ac:dyDescent="0.25">
      <c r="A14" s="46" t="s">
        <v>57</v>
      </c>
      <c r="B14" s="47">
        <f ca="1">VLOOKUP($A$3,Rng,16)/100</f>
        <v>0.02</v>
      </c>
      <c r="C14" s="48"/>
      <c r="D14" s="49">
        <f t="shared" ca="1" si="0"/>
        <v>0.02</v>
      </c>
      <c r="F14" s="30">
        <v>2005</v>
      </c>
      <c r="G14" s="31">
        <v>18.45</v>
      </c>
      <c r="H14" s="31">
        <v>2.57</v>
      </c>
      <c r="I14" s="31">
        <v>0.88</v>
      </c>
      <c r="J14" s="31">
        <v>3.45</v>
      </c>
      <c r="K14" s="31">
        <v>0.7</v>
      </c>
      <c r="L14" s="31">
        <v>0.25</v>
      </c>
      <c r="M14" s="31">
        <v>0.95</v>
      </c>
      <c r="N14" s="31">
        <v>1.05</v>
      </c>
      <c r="O14" s="28">
        <v>0.375</v>
      </c>
      <c r="P14" s="88">
        <f t="shared" si="1"/>
        <v>1.425</v>
      </c>
      <c r="Q14" s="28">
        <v>1.75</v>
      </c>
      <c r="R14" s="28">
        <v>0.625</v>
      </c>
      <c r="S14" s="28">
        <f t="shared" si="2"/>
        <v>2.375</v>
      </c>
      <c r="T14" s="28">
        <v>1</v>
      </c>
      <c r="U14" s="28">
        <v>2</v>
      </c>
      <c r="V14" s="27">
        <v>5</v>
      </c>
      <c r="W14" s="28">
        <v>3.15</v>
      </c>
      <c r="X14" s="28">
        <v>1.125</v>
      </c>
      <c r="Y14" s="28">
        <f t="shared" si="3"/>
        <v>4.2750000000000004</v>
      </c>
      <c r="Z14" s="28">
        <v>25</v>
      </c>
      <c r="AA14" s="28">
        <v>22</v>
      </c>
      <c r="AB14" s="29">
        <v>23</v>
      </c>
      <c r="AC14" s="55">
        <v>46.8</v>
      </c>
      <c r="AD14" s="55">
        <v>45.35</v>
      </c>
      <c r="AE14" s="83">
        <v>44.05</v>
      </c>
      <c r="AG14" s="53">
        <v>10</v>
      </c>
      <c r="AH14" s="54">
        <v>16</v>
      </c>
      <c r="AI14" s="53">
        <v>23</v>
      </c>
      <c r="AJ14" s="54">
        <v>20</v>
      </c>
      <c r="AK14" s="53">
        <v>36</v>
      </c>
      <c r="AL14" s="54">
        <v>26</v>
      </c>
      <c r="AM14" s="53">
        <v>49</v>
      </c>
      <c r="AN14" s="54">
        <v>30</v>
      </c>
    </row>
    <row r="15" spans="1:40" ht="13.5" thickBot="1" x14ac:dyDescent="0.25">
      <c r="A15" s="38" t="s">
        <v>40</v>
      </c>
      <c r="B15" s="241" t="s">
        <v>58</v>
      </c>
      <c r="C15" s="242"/>
      <c r="F15" s="30">
        <v>2006</v>
      </c>
      <c r="G15" s="31">
        <v>19.100000000000001</v>
      </c>
      <c r="H15" s="31">
        <v>2.08</v>
      </c>
      <c r="I15" s="31">
        <v>0.72</v>
      </c>
      <c r="J15" s="31">
        <v>2.8</v>
      </c>
      <c r="K15" s="31">
        <v>0.7</v>
      </c>
      <c r="L15" s="31">
        <v>0.25</v>
      </c>
      <c r="M15" s="31">
        <v>0.95</v>
      </c>
      <c r="N15" s="31">
        <v>1.05</v>
      </c>
      <c r="O15" s="28">
        <v>0.375</v>
      </c>
      <c r="P15" s="88">
        <f t="shared" si="1"/>
        <v>1.425</v>
      </c>
      <c r="Q15" s="28">
        <v>1.75</v>
      </c>
      <c r="R15" s="28">
        <v>0.625</v>
      </c>
      <c r="S15" s="28">
        <f t="shared" si="2"/>
        <v>2.375</v>
      </c>
      <c r="T15" s="28">
        <v>1</v>
      </c>
      <c r="U15" s="28">
        <v>2</v>
      </c>
      <c r="V15" s="27">
        <v>5</v>
      </c>
      <c r="W15" s="28">
        <v>3.15</v>
      </c>
      <c r="X15" s="28">
        <v>1.125</v>
      </c>
      <c r="Y15" s="28">
        <f t="shared" si="3"/>
        <v>4.2750000000000004</v>
      </c>
      <c r="Z15" s="28">
        <v>25</v>
      </c>
      <c r="AA15" s="28">
        <v>23</v>
      </c>
      <c r="AB15" s="29">
        <v>24</v>
      </c>
      <c r="AC15" s="55">
        <v>48.67</v>
      </c>
      <c r="AD15" s="55">
        <v>47.16</v>
      </c>
      <c r="AE15" s="83">
        <v>45.81</v>
      </c>
      <c r="AG15" s="53">
        <v>11</v>
      </c>
      <c r="AH15" s="54">
        <v>16</v>
      </c>
      <c r="AI15" s="53">
        <v>24</v>
      </c>
      <c r="AJ15" s="54">
        <v>20</v>
      </c>
      <c r="AK15" s="53">
        <v>37</v>
      </c>
      <c r="AL15" s="54">
        <v>26</v>
      </c>
      <c r="AM15" s="53">
        <v>50</v>
      </c>
      <c r="AN15" s="54">
        <v>32</v>
      </c>
    </row>
    <row r="16" spans="1:40" ht="13.5" thickBot="1" x14ac:dyDescent="0.25">
      <c r="A16" s="56" t="s">
        <v>48</v>
      </c>
      <c r="B16" s="224">
        <f ca="1">VLOOKUP(A3,Rng,24)</f>
        <v>70.099999999999994</v>
      </c>
      <c r="C16" s="225"/>
      <c r="D16" s="56" t="s">
        <v>48</v>
      </c>
      <c r="F16" s="30">
        <v>2007</v>
      </c>
      <c r="G16" s="31">
        <v>19.75</v>
      </c>
      <c r="H16" s="31">
        <v>1.59</v>
      </c>
      <c r="I16" s="31">
        <v>0.56000000000000005</v>
      </c>
      <c r="J16" s="31">
        <v>2.15</v>
      </c>
      <c r="K16" s="31">
        <v>0.7</v>
      </c>
      <c r="L16" s="31">
        <v>0.25</v>
      </c>
      <c r="M16" s="31">
        <v>0.95</v>
      </c>
      <c r="N16" s="31">
        <v>1.05</v>
      </c>
      <c r="O16" s="28">
        <v>0.375</v>
      </c>
      <c r="P16" s="88">
        <f t="shared" si="1"/>
        <v>1.425</v>
      </c>
      <c r="Q16" s="28">
        <v>1.75</v>
      </c>
      <c r="R16" s="28">
        <v>0.625</v>
      </c>
      <c r="S16" s="28">
        <f t="shared" si="2"/>
        <v>2.375</v>
      </c>
      <c r="T16" s="28">
        <v>1</v>
      </c>
      <c r="U16" s="28">
        <v>2</v>
      </c>
      <c r="V16" s="27">
        <v>5</v>
      </c>
      <c r="W16" s="28">
        <v>3.15</v>
      </c>
      <c r="X16" s="28">
        <v>1.125</v>
      </c>
      <c r="Y16" s="28">
        <f t="shared" si="3"/>
        <v>4.2750000000000004</v>
      </c>
      <c r="Z16" s="28">
        <v>25</v>
      </c>
      <c r="AA16" s="28">
        <v>24</v>
      </c>
      <c r="AB16" s="29">
        <v>25</v>
      </c>
      <c r="AC16" s="55">
        <v>50.57</v>
      </c>
      <c r="AD16" s="55">
        <v>49</v>
      </c>
      <c r="AE16" s="83">
        <v>47.6</v>
      </c>
      <c r="AG16" s="53">
        <v>12</v>
      </c>
      <c r="AH16" s="54">
        <v>16</v>
      </c>
      <c r="AI16" s="53">
        <v>25</v>
      </c>
      <c r="AJ16" s="54">
        <v>22</v>
      </c>
      <c r="AK16" s="53">
        <v>38</v>
      </c>
      <c r="AL16" s="54">
        <v>26</v>
      </c>
      <c r="AM16" s="53">
        <v>51</v>
      </c>
      <c r="AN16" s="54">
        <v>32</v>
      </c>
    </row>
    <row r="17" spans="1:40" ht="13.5" thickBot="1" x14ac:dyDescent="0.25">
      <c r="A17" s="56" t="s">
        <v>49</v>
      </c>
      <c r="B17" s="224">
        <f ca="1">VLOOKUP(A3,Rng,25)</f>
        <v>66.45</v>
      </c>
      <c r="C17" s="225"/>
      <c r="D17" s="56" t="s">
        <v>49</v>
      </c>
      <c r="F17" s="30">
        <v>2008</v>
      </c>
      <c r="G17" s="31">
        <v>20.399999999999999</v>
      </c>
      <c r="H17" s="31">
        <v>1.1000000000000001</v>
      </c>
      <c r="I17" s="31">
        <v>0.4</v>
      </c>
      <c r="J17" s="31">
        <v>1.5</v>
      </c>
      <c r="K17" s="31">
        <v>0.7</v>
      </c>
      <c r="L17" s="31">
        <v>0.25</v>
      </c>
      <c r="M17" s="31">
        <v>0.95</v>
      </c>
      <c r="N17" s="31">
        <v>1.05</v>
      </c>
      <c r="O17" s="28">
        <v>0.375</v>
      </c>
      <c r="P17" s="88">
        <f t="shared" si="1"/>
        <v>1.425</v>
      </c>
      <c r="Q17" s="28">
        <v>1.75</v>
      </c>
      <c r="R17" s="28">
        <v>0.625</v>
      </c>
      <c r="S17" s="28">
        <f t="shared" si="2"/>
        <v>2.375</v>
      </c>
      <c r="T17" s="28">
        <v>1</v>
      </c>
      <c r="U17" s="28">
        <v>2</v>
      </c>
      <c r="V17" s="27">
        <v>5</v>
      </c>
      <c r="W17" s="28">
        <v>3.15</v>
      </c>
      <c r="X17" s="28">
        <v>1.125</v>
      </c>
      <c r="Y17" s="28">
        <f t="shared" si="3"/>
        <v>4.2750000000000004</v>
      </c>
      <c r="Z17" s="28">
        <v>25</v>
      </c>
      <c r="AA17" s="28">
        <v>25</v>
      </c>
      <c r="AB17" s="29">
        <v>25</v>
      </c>
      <c r="AC17" s="55">
        <v>52.59</v>
      </c>
      <c r="AD17" s="55">
        <v>50.96</v>
      </c>
      <c r="AE17" s="83">
        <v>49.5</v>
      </c>
      <c r="AG17" s="53">
        <v>13</v>
      </c>
      <c r="AH17" s="54">
        <v>16</v>
      </c>
      <c r="AI17" s="53">
        <v>26</v>
      </c>
      <c r="AJ17" s="54">
        <v>22</v>
      </c>
      <c r="AK17" s="53">
        <v>39</v>
      </c>
      <c r="AL17" s="54">
        <v>26</v>
      </c>
      <c r="AM17" s="53">
        <v>52</v>
      </c>
      <c r="AN17" s="54">
        <v>32</v>
      </c>
    </row>
    <row r="18" spans="1:40" ht="13.5" thickBot="1" x14ac:dyDescent="0.25">
      <c r="A18" s="56"/>
      <c r="B18" s="224">
        <f ca="1">VLOOKUP(A3,Rng,26)</f>
        <v>0</v>
      </c>
      <c r="C18" s="225"/>
      <c r="D18" s="56" t="s">
        <v>41</v>
      </c>
      <c r="F18" s="79">
        <v>2009</v>
      </c>
      <c r="G18" s="31">
        <f t="shared" ref="G18:O18" si="4">G17</f>
        <v>20.399999999999999</v>
      </c>
      <c r="H18" s="31">
        <f t="shared" si="4"/>
        <v>1.1000000000000001</v>
      </c>
      <c r="I18" s="31">
        <f t="shared" si="4"/>
        <v>0.4</v>
      </c>
      <c r="J18" s="31">
        <f t="shared" si="4"/>
        <v>1.5</v>
      </c>
      <c r="K18" s="31">
        <f t="shared" si="4"/>
        <v>0.7</v>
      </c>
      <c r="L18" s="31">
        <f t="shared" si="4"/>
        <v>0.25</v>
      </c>
      <c r="M18" s="31">
        <f t="shared" si="4"/>
        <v>0.95</v>
      </c>
      <c r="N18" s="31">
        <f t="shared" si="4"/>
        <v>1.05</v>
      </c>
      <c r="O18" s="28">
        <f t="shared" si="4"/>
        <v>0.375</v>
      </c>
      <c r="P18" s="88">
        <f t="shared" si="1"/>
        <v>1.425</v>
      </c>
      <c r="Q18" s="28">
        <f t="shared" ref="Q18:X18" si="5">Q17</f>
        <v>1.75</v>
      </c>
      <c r="R18" s="28">
        <f t="shared" si="5"/>
        <v>0.625</v>
      </c>
      <c r="S18" s="28">
        <f t="shared" si="5"/>
        <v>2.375</v>
      </c>
      <c r="T18" s="28">
        <f t="shared" si="5"/>
        <v>1</v>
      </c>
      <c r="U18" s="28">
        <f t="shared" si="5"/>
        <v>2</v>
      </c>
      <c r="V18" s="27">
        <f t="shared" si="5"/>
        <v>5</v>
      </c>
      <c r="W18" s="28">
        <f t="shared" si="5"/>
        <v>3.15</v>
      </c>
      <c r="X18" s="28">
        <f t="shared" si="5"/>
        <v>1.125</v>
      </c>
      <c r="Y18" s="28">
        <f t="shared" si="3"/>
        <v>4.2750000000000004</v>
      </c>
      <c r="Z18" s="28">
        <f>Z17</f>
        <v>25</v>
      </c>
      <c r="AA18" s="28">
        <f t="shared" ref="AA18:AB22" si="6">AA17</f>
        <v>25</v>
      </c>
      <c r="AB18" s="28">
        <f t="shared" si="6"/>
        <v>25</v>
      </c>
      <c r="AC18" s="55">
        <v>54.8</v>
      </c>
      <c r="AD18" s="55">
        <v>53.26</v>
      </c>
      <c r="AE18" s="83">
        <v>51.95</v>
      </c>
      <c r="AG18" s="80"/>
      <c r="AH18" s="81"/>
      <c r="AI18" s="80"/>
      <c r="AJ18" s="81"/>
      <c r="AK18" s="80"/>
      <c r="AL18" s="81"/>
      <c r="AM18" s="80"/>
      <c r="AN18" s="81"/>
    </row>
    <row r="19" spans="1:40" ht="13.5" thickBot="1" x14ac:dyDescent="0.25">
      <c r="F19" s="79">
        <v>2010</v>
      </c>
      <c r="G19" s="31">
        <f t="shared" ref="G19:G22" si="7">G18</f>
        <v>20.399999999999999</v>
      </c>
      <c r="H19" s="31">
        <f t="shared" ref="H19:H22" si="8">H18</f>
        <v>1.1000000000000001</v>
      </c>
      <c r="I19" s="31">
        <f t="shared" ref="I19:I22" si="9">I18</f>
        <v>0.4</v>
      </c>
      <c r="J19" s="31">
        <f t="shared" ref="J19:J22" si="10">J18</f>
        <v>1.5</v>
      </c>
      <c r="K19" s="31">
        <f t="shared" ref="K19:K22" si="11">K18</f>
        <v>0.7</v>
      </c>
      <c r="L19" s="31">
        <f t="shared" ref="L19:L22" si="12">L18</f>
        <v>0.25</v>
      </c>
      <c r="M19" s="31">
        <f t="shared" ref="M19:M22" si="13">M18</f>
        <v>0.95</v>
      </c>
      <c r="N19" s="31">
        <f t="shared" ref="N19:N22" si="14">N18</f>
        <v>1.05</v>
      </c>
      <c r="O19" s="28">
        <f t="shared" ref="O19:O22" si="15">O18</f>
        <v>0.375</v>
      </c>
      <c r="P19" s="88">
        <f t="shared" si="1"/>
        <v>1.425</v>
      </c>
      <c r="Q19" s="28">
        <f t="shared" ref="Q19:Q22" si="16">Q18</f>
        <v>1.75</v>
      </c>
      <c r="R19" s="28">
        <f t="shared" ref="R19:R22" si="17">R18</f>
        <v>0.625</v>
      </c>
      <c r="S19" s="28">
        <f t="shared" ref="S19:S22" si="18">S18</f>
        <v>2.375</v>
      </c>
      <c r="T19" s="28">
        <f t="shared" ref="T19:T22" si="19">T18</f>
        <v>1</v>
      </c>
      <c r="U19" s="28">
        <f t="shared" ref="U19:U22" si="20">U18</f>
        <v>2</v>
      </c>
      <c r="V19" s="27">
        <f t="shared" ref="V19:V22" si="21">V18</f>
        <v>5</v>
      </c>
      <c r="W19" s="28">
        <f t="shared" ref="W19:W22" si="22">W18</f>
        <v>3.15</v>
      </c>
      <c r="X19" s="28">
        <f t="shared" ref="X19:X22" si="23">X18</f>
        <v>1.125</v>
      </c>
      <c r="Y19" s="28">
        <f t="shared" si="3"/>
        <v>4.2750000000000004</v>
      </c>
      <c r="Z19" s="28">
        <f t="shared" ref="Z19:Z22" si="24">Z18</f>
        <v>25</v>
      </c>
      <c r="AA19" s="28">
        <f t="shared" si="6"/>
        <v>25</v>
      </c>
      <c r="AB19" s="28">
        <f t="shared" si="6"/>
        <v>25</v>
      </c>
      <c r="AC19" s="55">
        <v>57.46</v>
      </c>
      <c r="AD19" s="55">
        <v>55.84</v>
      </c>
      <c r="AE19" s="83">
        <v>54.47</v>
      </c>
      <c r="AG19" s="66"/>
      <c r="AH19" s="66"/>
      <c r="AI19" s="66"/>
      <c r="AJ19" s="66"/>
      <c r="AK19" s="66"/>
      <c r="AL19" s="66"/>
    </row>
    <row r="20" spans="1:40" ht="13.5" thickBot="1" x14ac:dyDescent="0.25">
      <c r="F20" s="79">
        <v>2011</v>
      </c>
      <c r="G20" s="31">
        <f t="shared" si="7"/>
        <v>20.399999999999999</v>
      </c>
      <c r="H20" s="31">
        <f t="shared" si="8"/>
        <v>1.1000000000000001</v>
      </c>
      <c r="I20" s="31">
        <f t="shared" si="9"/>
        <v>0.4</v>
      </c>
      <c r="J20" s="31">
        <f t="shared" si="10"/>
        <v>1.5</v>
      </c>
      <c r="K20" s="31">
        <f t="shared" si="11"/>
        <v>0.7</v>
      </c>
      <c r="L20" s="31">
        <f t="shared" si="12"/>
        <v>0.25</v>
      </c>
      <c r="M20" s="31">
        <f t="shared" si="13"/>
        <v>0.95</v>
      </c>
      <c r="N20" s="31">
        <f t="shared" si="14"/>
        <v>1.05</v>
      </c>
      <c r="O20" s="28">
        <f t="shared" si="15"/>
        <v>0.375</v>
      </c>
      <c r="P20" s="88">
        <f t="shared" si="1"/>
        <v>1.425</v>
      </c>
      <c r="Q20" s="28">
        <f t="shared" si="16"/>
        <v>1.75</v>
      </c>
      <c r="R20" s="28">
        <f t="shared" si="17"/>
        <v>0.625</v>
      </c>
      <c r="S20" s="28">
        <f t="shared" si="18"/>
        <v>2.375</v>
      </c>
      <c r="T20" s="28">
        <f t="shared" si="19"/>
        <v>1</v>
      </c>
      <c r="U20" s="28">
        <f t="shared" si="20"/>
        <v>2</v>
      </c>
      <c r="V20" s="27">
        <f t="shared" si="21"/>
        <v>5</v>
      </c>
      <c r="W20" s="28">
        <f t="shared" si="22"/>
        <v>3.15</v>
      </c>
      <c r="X20" s="28">
        <f t="shared" si="23"/>
        <v>1.125</v>
      </c>
      <c r="Y20" s="28">
        <f>SUM(W20:X20)</f>
        <v>4.2750000000000004</v>
      </c>
      <c r="Z20" s="28">
        <f t="shared" si="24"/>
        <v>25</v>
      </c>
      <c r="AA20" s="28">
        <f t="shared" si="6"/>
        <v>25</v>
      </c>
      <c r="AB20" s="28">
        <f t="shared" si="6"/>
        <v>25</v>
      </c>
      <c r="AC20" s="55">
        <v>59.82</v>
      </c>
      <c r="AD20" s="55">
        <v>58.13</v>
      </c>
      <c r="AE20" s="83">
        <v>56.7</v>
      </c>
      <c r="AG20" s="66"/>
      <c r="AH20" s="66"/>
      <c r="AI20" s="66"/>
      <c r="AJ20" s="66"/>
      <c r="AK20" s="66"/>
      <c r="AL20" s="66"/>
    </row>
    <row r="21" spans="1:40" ht="13.5" thickBot="1" x14ac:dyDescent="0.25">
      <c r="F21" s="79">
        <v>2012</v>
      </c>
      <c r="G21" s="31">
        <f t="shared" si="7"/>
        <v>20.399999999999999</v>
      </c>
      <c r="H21" s="31">
        <f t="shared" si="8"/>
        <v>1.1000000000000001</v>
      </c>
      <c r="I21" s="31">
        <f t="shared" si="9"/>
        <v>0.4</v>
      </c>
      <c r="J21" s="31">
        <f t="shared" si="10"/>
        <v>1.5</v>
      </c>
      <c r="K21" s="31">
        <f t="shared" si="11"/>
        <v>0.7</v>
      </c>
      <c r="L21" s="31">
        <f t="shared" si="12"/>
        <v>0.25</v>
      </c>
      <c r="M21" s="31">
        <f t="shared" si="13"/>
        <v>0.95</v>
      </c>
      <c r="N21" s="31">
        <f t="shared" si="14"/>
        <v>1.05</v>
      </c>
      <c r="O21" s="28">
        <f t="shared" si="15"/>
        <v>0.375</v>
      </c>
      <c r="P21" s="88">
        <f t="shared" si="1"/>
        <v>1.425</v>
      </c>
      <c r="Q21" s="28">
        <f t="shared" si="16"/>
        <v>1.75</v>
      </c>
      <c r="R21" s="28">
        <f t="shared" si="17"/>
        <v>0.625</v>
      </c>
      <c r="S21" s="28">
        <f t="shared" si="18"/>
        <v>2.375</v>
      </c>
      <c r="T21" s="28">
        <f t="shared" si="19"/>
        <v>1</v>
      </c>
      <c r="U21" s="28">
        <f t="shared" si="20"/>
        <v>2</v>
      </c>
      <c r="V21" s="27">
        <f t="shared" si="21"/>
        <v>5</v>
      </c>
      <c r="W21" s="28">
        <f t="shared" si="22"/>
        <v>3.15</v>
      </c>
      <c r="X21" s="28">
        <f t="shared" si="23"/>
        <v>1.125</v>
      </c>
      <c r="Y21" s="28">
        <f>SUM(W21:X21)</f>
        <v>4.2750000000000004</v>
      </c>
      <c r="Z21" s="28">
        <f t="shared" si="24"/>
        <v>25</v>
      </c>
      <c r="AA21" s="28">
        <f t="shared" si="6"/>
        <v>25</v>
      </c>
      <c r="AB21" s="28">
        <f t="shared" si="6"/>
        <v>25</v>
      </c>
      <c r="AC21" s="55">
        <v>62.33</v>
      </c>
      <c r="AD21" s="55">
        <v>60.57</v>
      </c>
      <c r="AE21" s="83">
        <v>59.08</v>
      </c>
      <c r="AG21" s="66"/>
      <c r="AH21" s="66"/>
      <c r="AI21" s="66"/>
      <c r="AJ21" s="66"/>
      <c r="AK21" s="66"/>
      <c r="AL21" s="66"/>
    </row>
    <row r="22" spans="1:40" ht="13.5" thickBot="1" x14ac:dyDescent="0.25">
      <c r="F22" s="79">
        <v>2013</v>
      </c>
      <c r="G22" s="31">
        <f t="shared" si="7"/>
        <v>20.399999999999999</v>
      </c>
      <c r="H22" s="31">
        <f t="shared" si="8"/>
        <v>1.1000000000000001</v>
      </c>
      <c r="I22" s="31">
        <f t="shared" si="9"/>
        <v>0.4</v>
      </c>
      <c r="J22" s="31">
        <f t="shared" si="10"/>
        <v>1.5</v>
      </c>
      <c r="K22" s="31">
        <f t="shared" si="11"/>
        <v>0.7</v>
      </c>
      <c r="L22" s="31">
        <f t="shared" si="12"/>
        <v>0.25</v>
      </c>
      <c r="M22" s="31">
        <f t="shared" si="13"/>
        <v>0.95</v>
      </c>
      <c r="N22" s="31">
        <f t="shared" si="14"/>
        <v>1.05</v>
      </c>
      <c r="O22" s="28">
        <f t="shared" si="15"/>
        <v>0.375</v>
      </c>
      <c r="P22" s="88">
        <f t="shared" si="1"/>
        <v>1.425</v>
      </c>
      <c r="Q22" s="28">
        <f t="shared" si="16"/>
        <v>1.75</v>
      </c>
      <c r="R22" s="28">
        <f t="shared" si="17"/>
        <v>0.625</v>
      </c>
      <c r="S22" s="28">
        <f t="shared" si="18"/>
        <v>2.375</v>
      </c>
      <c r="T22" s="28">
        <f t="shared" si="19"/>
        <v>1</v>
      </c>
      <c r="U22" s="28">
        <f t="shared" si="20"/>
        <v>2</v>
      </c>
      <c r="V22" s="27">
        <f t="shared" si="21"/>
        <v>5</v>
      </c>
      <c r="W22" s="28">
        <f t="shared" si="22"/>
        <v>3.15</v>
      </c>
      <c r="X22" s="28">
        <f t="shared" si="23"/>
        <v>1.125</v>
      </c>
      <c r="Y22" s="28">
        <f>SUM(W22:X22)</f>
        <v>4.2750000000000004</v>
      </c>
      <c r="Z22" s="28">
        <f t="shared" si="24"/>
        <v>25</v>
      </c>
      <c r="AA22" s="28">
        <f t="shared" si="6"/>
        <v>25</v>
      </c>
      <c r="AB22" s="28">
        <f t="shared" si="6"/>
        <v>25</v>
      </c>
      <c r="AC22" s="55">
        <v>64.760000000000005</v>
      </c>
      <c r="AD22" s="55">
        <v>64.760000000000005</v>
      </c>
      <c r="AE22" s="83">
        <v>61.38</v>
      </c>
      <c r="AG22" s="66"/>
      <c r="AH22" s="66"/>
      <c r="AI22" s="66"/>
      <c r="AJ22" s="66"/>
      <c r="AK22" s="66"/>
      <c r="AL22" s="66"/>
    </row>
    <row r="23" spans="1:40" ht="13.5" thickBot="1" x14ac:dyDescent="0.25">
      <c r="F23" s="79">
        <v>2014</v>
      </c>
      <c r="G23" s="31">
        <f t="shared" ref="G23:O23" si="25">G21</f>
        <v>20.399999999999999</v>
      </c>
      <c r="H23" s="31">
        <f t="shared" si="25"/>
        <v>1.1000000000000001</v>
      </c>
      <c r="I23" s="31">
        <f t="shared" si="25"/>
        <v>0.4</v>
      </c>
      <c r="J23" s="31">
        <f t="shared" si="25"/>
        <v>1.5</v>
      </c>
      <c r="K23" s="31">
        <f t="shared" si="25"/>
        <v>0.7</v>
      </c>
      <c r="L23" s="31">
        <f t="shared" si="25"/>
        <v>0.25</v>
      </c>
      <c r="M23" s="31">
        <f t="shared" si="25"/>
        <v>0.95</v>
      </c>
      <c r="N23" s="31">
        <f t="shared" si="25"/>
        <v>1.05</v>
      </c>
      <c r="O23" s="28">
        <f t="shared" si="25"/>
        <v>0.375</v>
      </c>
      <c r="P23" s="88">
        <f t="shared" si="1"/>
        <v>1.425</v>
      </c>
      <c r="Q23" s="28">
        <f t="shared" ref="Q23:X24" si="26">Q21</f>
        <v>1.75</v>
      </c>
      <c r="R23" s="28">
        <f t="shared" si="26"/>
        <v>0.625</v>
      </c>
      <c r="S23" s="28">
        <f t="shared" si="26"/>
        <v>2.375</v>
      </c>
      <c r="T23" s="28">
        <f t="shared" si="26"/>
        <v>1</v>
      </c>
      <c r="U23" s="28">
        <f t="shared" si="26"/>
        <v>2</v>
      </c>
      <c r="V23" s="27">
        <f t="shared" si="26"/>
        <v>5</v>
      </c>
      <c r="W23" s="28">
        <f t="shared" si="26"/>
        <v>3.15</v>
      </c>
      <c r="X23" s="28">
        <f t="shared" si="26"/>
        <v>1.125</v>
      </c>
      <c r="Y23" s="28">
        <f>SUM(W23:X23)</f>
        <v>4.2750000000000004</v>
      </c>
      <c r="Z23" s="28">
        <f t="shared" ref="Z23:AB24" si="27">Z21</f>
        <v>25</v>
      </c>
      <c r="AA23" s="28">
        <f t="shared" si="27"/>
        <v>25</v>
      </c>
      <c r="AB23" s="28">
        <f t="shared" si="27"/>
        <v>25</v>
      </c>
      <c r="AC23" s="55">
        <v>67.290000000000006</v>
      </c>
      <c r="AD23" s="55">
        <v>63.77</v>
      </c>
      <c r="AE23" s="83"/>
      <c r="AG23" s="66"/>
      <c r="AH23" s="66"/>
      <c r="AI23" s="66"/>
      <c r="AJ23" s="66"/>
      <c r="AK23" s="66"/>
      <c r="AL23" s="66"/>
    </row>
    <row r="24" spans="1:40" ht="13.5" thickBot="1" x14ac:dyDescent="0.25">
      <c r="F24" s="79">
        <v>2015</v>
      </c>
      <c r="G24" s="31">
        <f t="shared" ref="G24:O24" si="28">G22</f>
        <v>20.399999999999999</v>
      </c>
      <c r="H24" s="31">
        <f t="shared" si="28"/>
        <v>1.1000000000000001</v>
      </c>
      <c r="I24" s="31">
        <f t="shared" si="28"/>
        <v>0.4</v>
      </c>
      <c r="J24" s="31">
        <f t="shared" si="28"/>
        <v>1.5</v>
      </c>
      <c r="K24" s="31">
        <f t="shared" si="28"/>
        <v>0.7</v>
      </c>
      <c r="L24" s="31">
        <f t="shared" si="28"/>
        <v>0.25</v>
      </c>
      <c r="M24" s="31">
        <f t="shared" si="28"/>
        <v>0.95</v>
      </c>
      <c r="N24" s="31">
        <f t="shared" si="28"/>
        <v>1.05</v>
      </c>
      <c r="O24" s="28">
        <f t="shared" si="28"/>
        <v>0.375</v>
      </c>
      <c r="P24" s="88">
        <f t="shared" si="1"/>
        <v>1.425</v>
      </c>
      <c r="Q24" s="28">
        <f t="shared" si="26"/>
        <v>1.75</v>
      </c>
      <c r="R24" s="28">
        <f t="shared" si="26"/>
        <v>0.625</v>
      </c>
      <c r="S24" s="28">
        <f t="shared" si="26"/>
        <v>2.375</v>
      </c>
      <c r="T24" s="28">
        <f t="shared" si="26"/>
        <v>1</v>
      </c>
      <c r="U24" s="28">
        <f t="shared" si="26"/>
        <v>2</v>
      </c>
      <c r="V24" s="27">
        <f t="shared" si="26"/>
        <v>5</v>
      </c>
      <c r="W24" s="28">
        <f t="shared" si="26"/>
        <v>3.15</v>
      </c>
      <c r="X24" s="28">
        <f t="shared" si="26"/>
        <v>1.125</v>
      </c>
      <c r="Y24" s="28">
        <f>SUM(W24:X24)</f>
        <v>4.2750000000000004</v>
      </c>
      <c r="Z24" s="28">
        <f t="shared" si="27"/>
        <v>25</v>
      </c>
      <c r="AA24" s="28">
        <f t="shared" si="27"/>
        <v>25</v>
      </c>
      <c r="AB24" s="28">
        <f t="shared" si="27"/>
        <v>25</v>
      </c>
      <c r="AC24" s="55">
        <v>70.099999999999994</v>
      </c>
      <c r="AD24" s="55">
        <v>66.45</v>
      </c>
      <c r="AE24" s="83"/>
      <c r="AG24" s="66"/>
      <c r="AH24" s="66"/>
      <c r="AI24" s="66"/>
      <c r="AJ24" s="66"/>
      <c r="AK24" s="66"/>
      <c r="AL24" s="66"/>
    </row>
    <row r="25" spans="1:40" ht="13.5" thickBot="1" x14ac:dyDescent="0.25">
      <c r="F25" s="57" t="s">
        <v>59</v>
      </c>
      <c r="G25" s="58" t="s">
        <v>60</v>
      </c>
      <c r="H25" s="59" t="s">
        <v>61</v>
      </c>
      <c r="I25" s="60"/>
      <c r="J25" s="60"/>
      <c r="K25" s="61" t="s">
        <v>62</v>
      </c>
      <c r="L25" s="60"/>
      <c r="M25" s="60"/>
      <c r="N25" s="62" t="s">
        <v>63</v>
      </c>
      <c r="O25" s="60"/>
      <c r="P25" s="60"/>
      <c r="Q25" s="62" t="s">
        <v>64</v>
      </c>
      <c r="R25" s="60"/>
      <c r="S25" s="60"/>
      <c r="T25" s="63" t="s">
        <v>65</v>
      </c>
      <c r="U25" s="63" t="s">
        <v>66</v>
      </c>
      <c r="V25" s="63"/>
      <c r="W25" s="62" t="s">
        <v>67</v>
      </c>
      <c r="X25" s="60"/>
      <c r="Y25" s="60"/>
      <c r="Z25" s="58" t="s">
        <v>68</v>
      </c>
      <c r="AA25" s="64" t="s">
        <v>69</v>
      </c>
      <c r="AB25" s="65"/>
    </row>
    <row r="26" spans="1:40" ht="26.25" thickBot="1" x14ac:dyDescent="0.25">
      <c r="F26" s="207" t="s">
        <v>158</v>
      </c>
      <c r="G26" s="58" t="s">
        <v>157</v>
      </c>
      <c r="H26" s="59"/>
      <c r="I26" s="60"/>
      <c r="J26" s="60"/>
      <c r="K26" s="61"/>
      <c r="L26" s="60"/>
      <c r="M26" s="60"/>
      <c r="N26" s="62"/>
      <c r="O26" s="60"/>
      <c r="P26" s="60"/>
      <c r="Q26" s="62"/>
      <c r="R26" s="60"/>
      <c r="S26" s="60"/>
      <c r="T26" s="63"/>
      <c r="U26" s="63"/>
      <c r="V26" s="63"/>
      <c r="W26" s="62"/>
      <c r="X26" s="60"/>
      <c r="Y26" s="60"/>
      <c r="Z26" s="58"/>
      <c r="AA26" s="64"/>
      <c r="AB26" s="65"/>
    </row>
    <row r="27" spans="1:40" x14ac:dyDescent="0.2">
      <c r="A27" s="87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6"/>
      <c r="AA27" s="68"/>
      <c r="AB27" s="68"/>
    </row>
  </sheetData>
  <mergeCells count="17">
    <mergeCell ref="B17:C17"/>
    <mergeCell ref="B18:C18"/>
    <mergeCell ref="Z4:AB4"/>
    <mergeCell ref="Q4:S4"/>
    <mergeCell ref="N4:P4"/>
    <mergeCell ref="W4:Y4"/>
    <mergeCell ref="B15:C15"/>
    <mergeCell ref="K4:M4"/>
    <mergeCell ref="H4:J4"/>
    <mergeCell ref="AC1:AE2"/>
    <mergeCell ref="AG1:AN2"/>
    <mergeCell ref="AC3:AE4"/>
    <mergeCell ref="B16:C16"/>
    <mergeCell ref="W3:Y3"/>
    <mergeCell ref="B1:C1"/>
    <mergeCell ref="B2:C2"/>
    <mergeCell ref="B3:C3"/>
  </mergeCells>
  <phoneticPr fontId="6" type="noConversion"/>
  <conditionalFormatting sqref="AC6:AE24">
    <cfRule type="expression" dxfId="1" priority="2" stopIfTrue="1">
      <formula>ISBLANK(AC6)</formula>
    </cfRule>
  </conditionalFormatting>
  <conditionalFormatting sqref="B9">
    <cfRule type="expression" dxfId="0" priority="1">
      <formula>$B$9&lt;0.005</formula>
    </cfRule>
  </conditionalFormatting>
  <printOptions gridLines="1" gridLinesSet="0"/>
  <pageMargins left="0.75" right="0.75" top="1" bottom="1" header="0.511811024" footer="0.511811024"/>
  <pageSetup orientation="portrait" r:id="rId1"/>
  <headerFooter alignWithMargins="0">
    <oddHeader>&amp;A</oddHeader>
    <oddFooter>Página &amp;P</oddFooter>
  </headerFooter>
  <ignoredErrors>
    <ignoredError sqref="S6:S17 P6:P17" formulaRange="1"/>
    <ignoredError sqref="P18 P19:P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31</vt:i4>
      </vt:variant>
    </vt:vector>
  </HeadingPairs>
  <TitlesOfParts>
    <vt:vector size="36" baseType="lpstr">
      <vt:lpstr>Hoja1</vt:lpstr>
      <vt:lpstr>Sueldo</vt:lpstr>
      <vt:lpstr>Previsión Social</vt:lpstr>
      <vt:lpstr>ISR Salario</vt:lpstr>
      <vt:lpstr>IMSS</vt:lpstr>
      <vt:lpstr>'Previsión Social'!Área_de_impresión</vt:lpstr>
      <vt:lpstr>Sueldo!Área_de_impresión</vt:lpstr>
      <vt:lpstr>C_F</vt:lpstr>
      <vt:lpstr>CesVej_P</vt:lpstr>
      <vt:lpstr>CesVej_T</vt:lpstr>
      <vt:lpstr>CF</vt:lpstr>
      <vt:lpstr>Exc_P</vt:lpstr>
      <vt:lpstr>Exc_T</vt:lpstr>
      <vt:lpstr>Guard</vt:lpstr>
      <vt:lpstr>IV_P</vt:lpstr>
      <vt:lpstr>IV_T</vt:lpstr>
      <vt:lpstr>LI</vt:lpstr>
      <vt:lpstr>PDiner_P</vt:lpstr>
      <vt:lpstr>PDiner_T</vt:lpstr>
      <vt:lpstr>PEspec_P</vt:lpstr>
      <vt:lpstr>PEspec_T</vt:lpstr>
      <vt:lpstr>Porc</vt:lpstr>
      <vt:lpstr>PorcINFON</vt:lpstr>
      <vt:lpstr>Retiro</vt:lpstr>
      <vt:lpstr>SDI_TOPE</vt:lpstr>
      <vt:lpstr>Semestre</vt:lpstr>
      <vt:lpstr>SMGDF</vt:lpstr>
      <vt:lpstr>T_ISR</vt:lpstr>
      <vt:lpstr>T_SAE</vt:lpstr>
      <vt:lpstr>TOPE_IV</vt:lpstr>
      <vt:lpstr>TPorc</vt:lpstr>
      <vt:lpstr>Vac_1</vt:lpstr>
      <vt:lpstr>Vac_2</vt:lpstr>
      <vt:lpstr>Vac_3</vt:lpstr>
      <vt:lpstr>Vac_4</vt:lpstr>
      <vt:lpstr>Zona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farriaga</dc:creator>
  <cp:lastModifiedBy>CONPRA</cp:lastModifiedBy>
  <cp:lastPrinted>2015-03-02T19:53:12Z</cp:lastPrinted>
  <dcterms:created xsi:type="dcterms:W3CDTF">2007-10-25T15:40:56Z</dcterms:created>
  <dcterms:modified xsi:type="dcterms:W3CDTF">2015-03-24T21:24:54Z</dcterms:modified>
</cp:coreProperties>
</file>